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640" tabRatio="797"/>
  </bookViews>
  <sheets>
    <sheet name="Simplified Tariff Model" sheetId="6" r:id="rId1"/>
    <sheet name="Forecast until 2023 " sheetId="8" r:id="rId2"/>
    <sheet name="Ms, SFs for 2019" sheetId="9" r:id="rId3"/>
  </sheets>
  <definedNames>
    <definedName name="_xlnm._FilterDatabase" localSheetId="1" hidden="1">'Forecast until 2023 '!$E$30:$E$33</definedName>
    <definedName name="_xlnm._FilterDatabase" localSheetId="0" hidden="1">'Simplified Tariff Model'!$E$29:$E$32</definedName>
  </definedNames>
  <calcPr calcId="152511"/>
</workbook>
</file>

<file path=xl/calcChain.xml><?xml version="1.0" encoding="utf-8"?>
<calcChain xmlns="http://schemas.openxmlformats.org/spreadsheetml/2006/main">
  <c r="I44" i="8" l="1"/>
  <c r="H10" i="8" l="1"/>
  <c r="I10" i="8" l="1"/>
  <c r="G10" i="8"/>
  <c r="F10" i="8"/>
  <c r="I9" i="8"/>
  <c r="H9" i="8"/>
  <c r="G9" i="8"/>
  <c r="F9" i="8"/>
  <c r="H30" i="8"/>
  <c r="G30" i="8"/>
  <c r="F30" i="8"/>
  <c r="E30" i="8"/>
  <c r="E43" i="8" s="1"/>
  <c r="I25" i="8"/>
  <c r="H25" i="8"/>
  <c r="G25" i="8"/>
  <c r="F25" i="8"/>
  <c r="E25" i="8"/>
  <c r="I21" i="8"/>
  <c r="H21" i="8"/>
  <c r="G21" i="8"/>
  <c r="F21" i="8"/>
  <c r="E21" i="8"/>
  <c r="H11" i="8" l="1"/>
  <c r="H43" i="8"/>
  <c r="E42" i="8"/>
  <c r="E41" i="8"/>
  <c r="E46" i="8" s="1"/>
  <c r="E17" i="8" l="1"/>
  <c r="E11" i="8"/>
  <c r="E15" i="8" s="1"/>
  <c r="E14" i="8" s="1"/>
  <c r="E45" i="8" s="1"/>
  <c r="E48" i="8" s="1"/>
  <c r="I30" i="8"/>
  <c r="G11" i="8" l="1"/>
  <c r="F17" i="8"/>
  <c r="F43" i="8"/>
  <c r="F42" i="8" s="1"/>
  <c r="F11" i="8"/>
  <c r="F41" i="8" l="1"/>
  <c r="F46" i="8" s="1"/>
  <c r="G17" i="8"/>
  <c r="H17" i="8"/>
  <c r="G43" i="8"/>
  <c r="G41" i="8" s="1"/>
  <c r="G46" i="8" s="1"/>
  <c r="G42" i="8" l="1"/>
  <c r="G15" i="8"/>
  <c r="G14" i="8" s="1"/>
  <c r="I43" i="8"/>
  <c r="I42" i="8" s="1"/>
  <c r="F15" i="8"/>
  <c r="F14" i="8" s="1"/>
  <c r="I17" i="8"/>
  <c r="I11" i="8"/>
  <c r="H44" i="8" l="1"/>
  <c r="H41" i="8"/>
  <c r="H46" i="8" s="1"/>
  <c r="G45" i="8"/>
  <c r="G48" i="8" s="1"/>
  <c r="F45" i="8"/>
  <c r="F48" i="8" s="1"/>
  <c r="H42" i="8"/>
  <c r="I41" i="8"/>
  <c r="I46" i="8" s="1"/>
  <c r="H15" i="8" l="1"/>
  <c r="H14" i="8" s="1"/>
  <c r="H45" i="8" s="1"/>
  <c r="I15" i="8"/>
  <c r="I14" i="8" s="1"/>
  <c r="I45" i="8" s="1"/>
  <c r="H48" i="8" l="1"/>
  <c r="H47" i="8"/>
  <c r="I48" i="8"/>
  <c r="I47" i="8"/>
  <c r="G29" i="6"/>
  <c r="E29" i="6"/>
  <c r="E40" i="6" l="1"/>
  <c r="G24" i="6"/>
  <c r="E24" i="6"/>
  <c r="E39" i="6" l="1"/>
  <c r="E38" i="6"/>
  <c r="E42" i="6" l="1"/>
  <c r="G11" i="6" l="1"/>
  <c r="G40" i="6" l="1"/>
  <c r="G12" i="6"/>
  <c r="G39" i="6" l="1"/>
  <c r="G38" i="6"/>
  <c r="G16" i="6"/>
  <c r="E16" i="6"/>
  <c r="G20" i="6" l="1"/>
  <c r="E20" i="6"/>
  <c r="E41" i="6" s="1"/>
  <c r="G44" i="6" s="1"/>
  <c r="E43" i="6" l="1"/>
  <c r="G42" i="6" l="1"/>
  <c r="G41" i="6" s="1"/>
  <c r="G43" i="6" s="1"/>
</calcChain>
</file>

<file path=xl/sharedStrings.xml><?xml version="1.0" encoding="utf-8"?>
<sst xmlns="http://schemas.openxmlformats.org/spreadsheetml/2006/main" count="199" uniqueCount="86">
  <si>
    <t>Tariff year 2019</t>
  </si>
  <si>
    <t>%</t>
  </si>
  <si>
    <t>Capacity</t>
  </si>
  <si>
    <t>Commodity</t>
  </si>
  <si>
    <t>December, 2018</t>
  </si>
  <si>
    <t>As required per Article 30(2)(b) of TAR NC</t>
  </si>
  <si>
    <t>MWh/day/year</t>
  </si>
  <si>
    <r>
      <t xml:space="preserve">LNG Entry </t>
    </r>
    <r>
      <rPr>
        <sz val="10"/>
        <color theme="1"/>
        <rFont val="Calibri"/>
        <family val="2"/>
        <charset val="186"/>
        <scheme val="minor"/>
      </rPr>
      <t xml:space="preserve">(Klaipeda GMS) </t>
    </r>
    <r>
      <rPr>
        <b/>
        <sz val="10"/>
        <color theme="1"/>
        <rFont val="Calibri"/>
        <family val="2"/>
        <charset val="238"/>
        <scheme val="minor"/>
      </rPr>
      <t xml:space="preserve">point Discount </t>
    </r>
  </si>
  <si>
    <t>EUR/MWh/day/year</t>
  </si>
  <si>
    <r>
      <t>thereof allocated for transit from 3</t>
    </r>
    <r>
      <rPr>
        <i/>
        <vertAlign val="superscript"/>
        <sz val="10"/>
        <color theme="1"/>
        <rFont val="Calibri"/>
        <family val="2"/>
        <charset val="186"/>
        <scheme val="minor"/>
      </rPr>
      <t>rd</t>
    </r>
    <r>
      <rPr>
        <i/>
        <sz val="10"/>
        <color theme="1"/>
        <rFont val="Calibri"/>
        <family val="2"/>
        <charset val="186"/>
        <scheme val="minor"/>
      </rPr>
      <t xml:space="preserve"> to 3</t>
    </r>
    <r>
      <rPr>
        <i/>
        <vertAlign val="superscript"/>
        <sz val="10"/>
        <color theme="1"/>
        <rFont val="Calibri"/>
        <family val="2"/>
        <charset val="186"/>
        <scheme val="minor"/>
      </rPr>
      <t xml:space="preserve">rd </t>
    </r>
    <r>
      <rPr>
        <i/>
        <sz val="10"/>
        <color theme="1"/>
        <rFont val="Calibri"/>
        <family val="2"/>
        <charset val="186"/>
        <scheme val="minor"/>
      </rPr>
      <t>country service</t>
    </r>
    <r>
      <rPr>
        <i/>
        <vertAlign val="superscript"/>
        <sz val="10"/>
        <color theme="1"/>
        <rFont val="Calibri"/>
        <family val="2"/>
        <charset val="186"/>
        <scheme val="minor"/>
      </rPr>
      <t xml:space="preserve">2 </t>
    </r>
  </si>
  <si>
    <t>Forecast of firm long-term (yearly) capacity booking</t>
  </si>
  <si>
    <t xml:space="preserve">Entry/Exit split </t>
  </si>
  <si>
    <r>
      <t>Entry</t>
    </r>
    <r>
      <rPr>
        <sz val="9"/>
        <color theme="1"/>
        <rFont val="Calibri"/>
        <family val="2"/>
        <charset val="186"/>
        <scheme val="minor"/>
      </rPr>
      <t xml:space="preserve"> </t>
    </r>
  </si>
  <si>
    <t xml:space="preserve">Exit </t>
  </si>
  <si>
    <t xml:space="preserve">Please fill in the orange cells only </t>
  </si>
  <si>
    <r>
      <t xml:space="preserve">Allowed revenue (AR) </t>
    </r>
    <r>
      <rPr>
        <i/>
        <sz val="9"/>
        <color theme="1"/>
        <rFont val="Calibri"/>
        <family val="2"/>
        <charset val="186"/>
        <scheme val="minor"/>
      </rPr>
      <t>(taking into account the lengthened depreciation periods by TSO for 2019)</t>
    </r>
    <r>
      <rPr>
        <sz val="10"/>
        <color theme="1"/>
        <rFont val="Calibri"/>
        <family val="2"/>
        <charset val="186"/>
        <scheme val="minor"/>
      </rPr>
      <t>:</t>
    </r>
  </si>
  <si>
    <r>
      <t xml:space="preserve">For comparison </t>
    </r>
    <r>
      <rPr>
        <sz val="9"/>
        <color theme="0"/>
        <rFont val="Calibri"/>
        <family val="2"/>
        <charset val="186"/>
        <scheme val="minor"/>
      </rPr>
      <t>(indicative figures for information purposes only)</t>
    </r>
  </si>
  <si>
    <t>Tariff year 2020</t>
  </si>
  <si>
    <t>Tariff year 2021</t>
  </si>
  <si>
    <t>Tariff year 2022</t>
  </si>
  <si>
    <t>Tariff year 2023</t>
  </si>
  <si>
    <t>thereof allocated for primary network</t>
  </si>
  <si>
    <t>thereof allocated for secondary network</t>
  </si>
  <si>
    <t>TEUR</t>
  </si>
  <si>
    <t>-</t>
  </si>
  <si>
    <t>Reserve prices (for firm yearly capacity products) for transmission services</t>
  </si>
  <si>
    <t xml:space="preserve">     thereof for transportation to Exit points, other than to Sakiai GMS Exit Point</t>
  </si>
  <si>
    <r>
      <t xml:space="preserve">Part of AR, </t>
    </r>
    <r>
      <rPr>
        <sz val="10"/>
        <color theme="1"/>
        <rFont val="Calibri"/>
        <family val="2"/>
        <charset val="186"/>
        <scheme val="minor"/>
      </rPr>
      <t xml:space="preserve">attributable to </t>
    </r>
    <r>
      <rPr>
        <b/>
        <sz val="10"/>
        <color theme="1"/>
        <rFont val="Calibri"/>
        <family val="2"/>
        <charset val="186"/>
        <scheme val="minor"/>
      </rPr>
      <t>calculation of reference prices for transmission services (for firm yearly capacity), prices for long-term non-transmission services and commodity tariffs</t>
    </r>
    <r>
      <rPr>
        <sz val="10"/>
        <color theme="1"/>
        <rFont val="Calibri"/>
        <family val="2"/>
        <charset val="186"/>
        <scheme val="minor"/>
      </rPr>
      <t>:</t>
    </r>
  </si>
  <si>
    <r>
      <t xml:space="preserve">     thereof allocated for </t>
    </r>
    <r>
      <rPr>
        <b/>
        <sz val="10"/>
        <color theme="1"/>
        <rFont val="Calibri"/>
        <family val="2"/>
        <charset val="186"/>
        <scheme val="minor"/>
      </rPr>
      <t xml:space="preserve">primary </t>
    </r>
    <r>
      <rPr>
        <sz val="10"/>
        <color theme="1"/>
        <rFont val="Calibri"/>
        <family val="2"/>
        <charset val="186"/>
        <scheme val="minor"/>
      </rPr>
      <t>(transmission)</t>
    </r>
    <r>
      <rPr>
        <b/>
        <sz val="10"/>
        <color theme="1"/>
        <rFont val="Calibri"/>
        <family val="2"/>
        <charset val="186"/>
        <scheme val="minor"/>
      </rPr>
      <t xml:space="preserve"> network </t>
    </r>
    <r>
      <rPr>
        <i/>
        <sz val="10"/>
        <color theme="1"/>
        <rFont val="Calibri"/>
        <family val="2"/>
        <charset val="186"/>
        <scheme val="minor"/>
      </rPr>
      <t>(initial level for setting reference prices for transmission services (for firm yearly capacity products))</t>
    </r>
  </si>
  <si>
    <t>As required per Article 30(2)(a)(ii) of TAR NC</t>
  </si>
  <si>
    <t>Transmission tariffs (VAT excluded) for tariff year 2019</t>
  </si>
  <si>
    <r>
      <t>Simplified tariff model for estimation of reserve prices for long-term transmission services</t>
    </r>
    <r>
      <rPr>
        <i/>
        <sz val="12"/>
        <color theme="1"/>
        <rFont val="Calibri"/>
        <family val="2"/>
        <charset val="186"/>
      </rPr>
      <t/>
    </r>
  </si>
  <si>
    <r>
      <t xml:space="preserve">     thereof allocated for </t>
    </r>
    <r>
      <rPr>
        <b/>
        <sz val="10"/>
        <color theme="1"/>
        <rFont val="Calibri"/>
        <family val="2"/>
        <charset val="186"/>
        <scheme val="minor"/>
      </rPr>
      <t xml:space="preserve">secondary </t>
    </r>
    <r>
      <rPr>
        <sz val="10"/>
        <color theme="1"/>
        <rFont val="Calibri"/>
        <family val="2"/>
        <charset val="186"/>
        <scheme val="minor"/>
      </rPr>
      <t xml:space="preserve">(local / non-transmission) </t>
    </r>
    <r>
      <rPr>
        <b/>
        <sz val="10"/>
        <color theme="1"/>
        <rFont val="Calibri"/>
        <family val="2"/>
        <charset val="186"/>
        <scheme val="minor"/>
      </rPr>
      <t>network</t>
    </r>
    <r>
      <rPr>
        <b/>
        <vertAlign val="superscript"/>
        <sz val="10"/>
        <color theme="1"/>
        <rFont val="Calibri"/>
        <family val="2"/>
        <charset val="186"/>
        <scheme val="minor"/>
      </rPr>
      <t>1</t>
    </r>
  </si>
  <si>
    <r>
      <t xml:space="preserve">Part of AR, </t>
    </r>
    <r>
      <rPr>
        <sz val="10"/>
        <color theme="1"/>
        <rFont val="Calibri"/>
        <family val="2"/>
        <charset val="186"/>
        <scheme val="minor"/>
      </rPr>
      <t xml:space="preserve">attributable to </t>
    </r>
    <r>
      <rPr>
        <b/>
        <sz val="10"/>
        <color theme="1"/>
        <rFont val="Calibri"/>
        <family val="2"/>
        <charset val="186"/>
        <scheme val="minor"/>
      </rPr>
      <t>short-term services</t>
    </r>
    <r>
      <rPr>
        <b/>
        <vertAlign val="superscript"/>
        <sz val="10"/>
        <color theme="1"/>
        <rFont val="Calibri"/>
        <family val="2"/>
        <charset val="186"/>
        <scheme val="minor"/>
      </rPr>
      <t>2</t>
    </r>
    <r>
      <rPr>
        <sz val="10"/>
        <color theme="1"/>
        <rFont val="Calibri"/>
        <family val="2"/>
        <charset val="186"/>
        <scheme val="minor"/>
      </rPr>
      <t>:</t>
    </r>
  </si>
  <si>
    <r>
      <rPr>
        <i/>
        <vertAlign val="superscript"/>
        <sz val="9.5"/>
        <color theme="1"/>
        <rFont val="Calibri"/>
        <family val="2"/>
        <charset val="186"/>
        <scheme val="minor"/>
      </rPr>
      <t>2</t>
    </r>
    <r>
      <rPr>
        <i/>
        <sz val="9.5"/>
        <color theme="1"/>
        <rFont val="Calibri"/>
        <family val="2"/>
        <charset val="186"/>
        <scheme val="minor"/>
      </rPr>
      <t xml:space="preserve"> Part of AR, assumed to be collected from short-term services, which reduces the part of AR attributable to long-term services at Exit points.</t>
    </r>
  </si>
  <si>
    <r>
      <rPr>
        <i/>
        <vertAlign val="superscript"/>
        <sz val="9.5"/>
        <color theme="1"/>
        <rFont val="Calibri"/>
        <family val="2"/>
        <charset val="186"/>
        <scheme val="minor"/>
      </rPr>
      <t xml:space="preserve">1 </t>
    </r>
    <r>
      <rPr>
        <i/>
        <sz val="9.5"/>
        <color theme="1"/>
        <rFont val="Calibri"/>
        <family val="2"/>
        <charset val="186"/>
        <scheme val="minor"/>
      </rPr>
      <t>Local (secondary) network – the assets of the high pressure pipeline network, by which gas is transported only to Lithuanian natural gas consumers.</t>
    </r>
  </si>
  <si>
    <r>
      <t>Capacity/commodity split</t>
    </r>
    <r>
      <rPr>
        <b/>
        <vertAlign val="superscript"/>
        <sz val="10"/>
        <color theme="1"/>
        <rFont val="Calibri"/>
        <family val="2"/>
        <charset val="186"/>
        <scheme val="minor"/>
      </rPr>
      <t>3</t>
    </r>
    <r>
      <rPr>
        <b/>
        <sz val="10"/>
        <color theme="1"/>
        <rFont val="Calibri"/>
        <family val="2"/>
        <charset val="238"/>
        <scheme val="minor"/>
      </rPr>
      <t xml:space="preserve"> </t>
    </r>
  </si>
  <si>
    <t>(BY&gt;LT) Kotlovka GMS Entry Point</t>
  </si>
  <si>
    <t>(LV&gt;LT) Kiemenai GMS Entry Point</t>
  </si>
  <si>
    <t>(LNGT&gt;LT) Klaipeda GMS Entry Point</t>
  </si>
  <si>
    <t>(LT&gt;LV) Kiemenai GMS Exit Point</t>
  </si>
  <si>
    <t>(LT&gt;RU) Sakiai GMS Exit Point</t>
  </si>
  <si>
    <t>(LT) Domestic Exit Point</t>
  </si>
  <si>
    <r>
      <t>(LT) Domestic Exit Point</t>
    </r>
    <r>
      <rPr>
        <sz val="10"/>
        <color theme="1"/>
        <rFont val="Calibri"/>
        <family val="2"/>
        <charset val="186"/>
        <scheme val="minor"/>
      </rPr>
      <t xml:space="preserve"> (for primary (transmission) network)</t>
    </r>
    <r>
      <rPr>
        <vertAlign val="superscript"/>
        <sz val="10"/>
        <color theme="1"/>
        <rFont val="Calibri"/>
        <family val="2"/>
        <charset val="186"/>
        <scheme val="minor"/>
      </rPr>
      <t/>
    </r>
  </si>
  <si>
    <r>
      <rPr>
        <i/>
        <vertAlign val="superscript"/>
        <sz val="9.5"/>
        <color theme="1"/>
        <rFont val="Calibri"/>
        <family val="2"/>
        <charset val="186"/>
        <scheme val="minor"/>
      </rPr>
      <t>3</t>
    </r>
    <r>
      <rPr>
        <i/>
        <sz val="9.5"/>
        <color theme="1"/>
        <rFont val="Calibri"/>
        <family val="2"/>
        <charset val="186"/>
        <scheme val="minor"/>
      </rPr>
      <t xml:space="preserve"> General capacity / commodity split is a resulting value: at Entry points - 100/0 split is applied, at Exit points - 66/34, but there was made an exemption for Kiemenai GMS Exit Point, where 100/0 was set for 2019. 
In column 'For comparison' of the simplified model the tariff for Kiemenai GMS Exit Point, as well as for Domestic Exit Point, is calculated using split 100/0 thus reflecting the priciple of 'postage stamp' method.</t>
    </r>
  </si>
  <si>
    <r>
      <t xml:space="preserve">Forecast of reserve prices for long-term transmission services </t>
    </r>
    <r>
      <rPr>
        <b/>
        <sz val="18"/>
        <color theme="1"/>
        <rFont val="Calibri"/>
        <family val="2"/>
        <charset val="186"/>
      </rPr>
      <t>until the end of regulatory period (2019-2023)</t>
    </r>
  </si>
  <si>
    <r>
      <t>Capacity/commodity split</t>
    </r>
    <r>
      <rPr>
        <b/>
        <vertAlign val="superscript"/>
        <sz val="10"/>
        <color theme="1"/>
        <rFont val="Calibri"/>
        <family val="2"/>
        <charset val="186"/>
        <scheme val="minor"/>
      </rPr>
      <t xml:space="preserve">3 </t>
    </r>
    <r>
      <rPr>
        <i/>
        <sz val="9"/>
        <color theme="1"/>
        <rFont val="Calibri"/>
        <family val="2"/>
        <charset val="186"/>
        <scheme val="minor"/>
      </rPr>
      <t>(for 2019 - general, from 2020 - for Exit points only)</t>
    </r>
  </si>
  <si>
    <r>
      <rPr>
        <b/>
        <sz val="11"/>
        <color rgb="FFFF0000"/>
        <rFont val="Calibri"/>
        <family val="2"/>
        <charset val="186"/>
        <scheme val="minor"/>
      </rPr>
      <t>DISCLAIMER and EXPLANATIONS</t>
    </r>
    <r>
      <rPr>
        <sz val="11"/>
        <rFont val="Calibri"/>
        <family val="2"/>
        <charset val="238"/>
        <scheme val="minor"/>
      </rPr>
      <t xml:space="preserve">
Simplified tariff model is for information purposes only. It allows for estimation of tariffs for firm yearly capacity products of primary (transmission) network.
Actual price list of the TSO also includes the following features </t>
    </r>
    <r>
      <rPr>
        <u/>
        <sz val="11"/>
        <rFont val="Calibri"/>
        <family val="2"/>
        <charset val="186"/>
        <scheme val="minor"/>
      </rPr>
      <t>not covered by this simplified model</t>
    </r>
    <r>
      <rPr>
        <sz val="11"/>
        <rFont val="Calibri"/>
        <family val="2"/>
        <charset val="238"/>
        <scheme val="minor"/>
      </rPr>
      <t>: 
- tariffs for short-term products;
- tariffs for interruptible products;
- commodity tariffs at the Exit points; 
- tariffs' part related to secondary (local / non-transmission) added to primary (transmission) network's tariffs network at Domestic Exit Point, which amounts averagely to 155.30 EUR/MWh/day/year (expressed in capacity booking unit) for 2019; 
- differentiation of tariffs' part, related to secondary (local / non-transmission) network for two groups of system users (</t>
    </r>
    <r>
      <rPr>
        <sz val="11"/>
        <color theme="1"/>
        <rFont val="Calibri"/>
        <family val="2"/>
        <charset val="186"/>
        <scheme val="minor"/>
      </rPr>
      <t>&lt;=</t>
    </r>
    <r>
      <rPr>
        <sz val="11"/>
        <rFont val="Calibri"/>
        <family val="2"/>
        <charset val="238"/>
        <scheme val="minor"/>
      </rPr>
      <t xml:space="preserve"> 10.4 TWh and &gt;10.4 TWh annual transmission quantity through Lithuania’s Domestic Exit Point).</t>
    </r>
  </si>
  <si>
    <r>
      <t xml:space="preserve">(PL&gt;LT) GIPL Entry Point </t>
    </r>
    <r>
      <rPr>
        <i/>
        <sz val="10"/>
        <color theme="1"/>
        <rFont val="Calibri"/>
        <family val="2"/>
        <charset val="186"/>
        <scheme val="minor"/>
      </rPr>
      <t>(planned to be operational from 2022)</t>
    </r>
  </si>
  <si>
    <r>
      <t xml:space="preserve">(LT&gt;PL) GIPL Exit Point </t>
    </r>
    <r>
      <rPr>
        <i/>
        <sz val="10"/>
        <color theme="1"/>
        <rFont val="Calibri"/>
        <family val="2"/>
        <charset val="186"/>
        <scheme val="minor"/>
      </rPr>
      <t>(planned to be operational from 2022)</t>
    </r>
  </si>
  <si>
    <t>Transmission tariffs (VAT excluded) for tariff year 2019 and preliminarily forecasted transmission tariffs (VAT excluded) for tariff periods of 2020-2023</t>
  </si>
  <si>
    <r>
      <rPr>
        <i/>
        <vertAlign val="superscript"/>
        <sz val="9.5"/>
        <color theme="1"/>
        <rFont val="Calibri"/>
        <family val="2"/>
        <charset val="186"/>
        <scheme val="minor"/>
      </rPr>
      <t>1</t>
    </r>
    <r>
      <rPr>
        <i/>
        <sz val="9.5"/>
        <color theme="1"/>
        <rFont val="Calibri"/>
        <family val="2"/>
        <charset val="186"/>
        <scheme val="minor"/>
      </rPr>
      <t>Local (secondary) network – the assets of the high pressure pipeline network, by which gas is transported only to Lithuanian natural gas consumers.</t>
    </r>
  </si>
  <si>
    <r>
      <rPr>
        <i/>
        <vertAlign val="superscript"/>
        <sz val="9.5"/>
        <color theme="1"/>
        <rFont val="Calibri"/>
        <family val="2"/>
        <charset val="186"/>
        <scheme val="minor"/>
      </rPr>
      <t>2</t>
    </r>
    <r>
      <rPr>
        <i/>
        <sz val="9.5"/>
        <color theme="1"/>
        <rFont val="Calibri"/>
        <family val="2"/>
        <charset val="186"/>
        <scheme val="minor"/>
      </rPr>
      <t>Part of AR, assumed to be collected from short-term services, which reduces the part of AR attributable to long-term services at Exit points.</t>
    </r>
  </si>
  <si>
    <r>
      <rPr>
        <i/>
        <vertAlign val="superscript"/>
        <sz val="9.5"/>
        <color theme="1"/>
        <rFont val="Calibri"/>
        <family val="2"/>
        <charset val="186"/>
        <scheme val="minor"/>
      </rPr>
      <t>3</t>
    </r>
    <r>
      <rPr>
        <i/>
        <sz val="9.5"/>
        <color theme="1"/>
        <rFont val="Calibri"/>
        <family val="2"/>
        <charset val="186"/>
        <scheme val="minor"/>
      </rPr>
      <t>General capacity / commodity split is a resulting value: at Entry points - 100/0 split is applied, at Exit points - 66/34 for 2019, but there was made an exemption for Kiemenai GMS Exit Point, where 100/0 was set for 2019. From 2020 it is assumed that the capacity/commodity split is equal at all Exit points and percentage values of capacity part of the split are applied directly to Exit points.
In columns for 2020-2023 tariff periods the tariff for Kiemenai GMS Exit Point, as well as for Domestic Exit Point (from 2022 - as well as for GIPL Exit Point), is calculated using split 100/0 thus reflecting the priciple of 'postage stamp' method.</t>
    </r>
  </si>
  <si>
    <r>
      <rPr>
        <b/>
        <sz val="11"/>
        <color rgb="FFFF0000"/>
        <rFont val="Calibri"/>
        <family val="2"/>
        <charset val="186"/>
        <scheme val="minor"/>
      </rPr>
      <t>DISCLAIMER and EXPLANATIONS</t>
    </r>
    <r>
      <rPr>
        <sz val="11"/>
        <rFont val="Calibri"/>
        <family val="2"/>
        <charset val="238"/>
        <scheme val="minor"/>
      </rPr>
      <t xml:space="preserve">
This model of forecasted prices is for information purposes only. It allows for estimation of preliminarily forecasted tariffs for firm yearly capacity products of primary (transmission) network.
Actual price list of the TSO also includes the following features </t>
    </r>
    <r>
      <rPr>
        <u/>
        <sz val="11"/>
        <rFont val="Calibri"/>
        <family val="2"/>
        <charset val="186"/>
        <scheme val="minor"/>
      </rPr>
      <t>not covered by this model of forecasted prices</t>
    </r>
    <r>
      <rPr>
        <sz val="11"/>
        <rFont val="Calibri"/>
        <family val="2"/>
        <charset val="238"/>
        <scheme val="minor"/>
      </rPr>
      <t>: 
- tariffs for short-term products;
- tariffs for interruptible products;
- commodity tariffs at the Exit points; 
- tariffs' part related to secondary (local / non-transmission) added to primary (transmission) network's tariffs network at Domestic Exit Point, which amounts averagely to 155.30 EUR/MWh/day/year (expressed in capacity booking unit) for 2019; 
- differentiation of tariffs' part, related to secondary (local / non-transmission) network for two groups of system users (</t>
    </r>
    <r>
      <rPr>
        <sz val="11"/>
        <color theme="1"/>
        <rFont val="Calibri"/>
        <family val="2"/>
        <charset val="186"/>
        <scheme val="minor"/>
      </rPr>
      <t>&lt;=</t>
    </r>
    <r>
      <rPr>
        <sz val="11"/>
        <rFont val="Calibri"/>
        <family val="2"/>
        <charset val="238"/>
        <scheme val="minor"/>
      </rPr>
      <t xml:space="preserve"> 10.4 TWh and &gt;10.4 TWh annual transmission quantity through Lithuania’s Domestic Exit Point).</t>
    </r>
  </si>
  <si>
    <t>(LT) Domestic Exit Point (for primary (transmission) network)</t>
  </si>
  <si>
    <r>
      <t>Multipliers (Ms)</t>
    </r>
    <r>
      <rPr>
        <i/>
        <sz val="10"/>
        <color theme="1"/>
        <rFont val="Calibri"/>
        <family val="2"/>
        <charset val="186"/>
        <scheme val="minor"/>
      </rPr>
      <t xml:space="preserve"> (for Quarterly (Q), Monthly (M), Daily/Within-day (D/WD) capacity products)</t>
    </r>
    <r>
      <rPr>
        <b/>
        <sz val="10"/>
        <color theme="1"/>
        <rFont val="Calibri"/>
        <family val="2"/>
        <charset val="186"/>
        <scheme val="minor"/>
      </rPr>
      <t>:</t>
    </r>
  </si>
  <si>
    <t>Tariff year</t>
  </si>
  <si>
    <t>For all Entry points</t>
  </si>
  <si>
    <t>Q</t>
  </si>
  <si>
    <t>M</t>
  </si>
  <si>
    <t>D/WD</t>
  </si>
  <si>
    <t>Multipliers and seasonal factors for the tariff period 2019</t>
  </si>
  <si>
    <t>For (LT&gt;LV) Kiemenai Exit Point</t>
  </si>
  <si>
    <t>For Quarterly products</t>
  </si>
  <si>
    <t>For Monthly products</t>
  </si>
  <si>
    <t>For Daily/Within-day products</t>
  </si>
  <si>
    <t>Q I</t>
  </si>
  <si>
    <t>Q II</t>
  </si>
  <si>
    <t>Q III</t>
  </si>
  <si>
    <t>Q IV</t>
  </si>
  <si>
    <t>Jan</t>
  </si>
  <si>
    <t>Feb</t>
  </si>
  <si>
    <t>Mar</t>
  </si>
  <si>
    <t>Apr</t>
  </si>
  <si>
    <t>May</t>
  </si>
  <si>
    <t>Jun</t>
  </si>
  <si>
    <t>Jul</t>
  </si>
  <si>
    <t>Aug</t>
  </si>
  <si>
    <t>Sep</t>
  </si>
  <si>
    <t>Oct</t>
  </si>
  <si>
    <t>Nov</t>
  </si>
  <si>
    <t>Dec</t>
  </si>
  <si>
    <r>
      <t xml:space="preserve">Seasonal factors (SFs) for (LT) Domestic and (LT&gt;RU) Šakiai Exit points </t>
    </r>
    <r>
      <rPr>
        <i/>
        <sz val="10"/>
        <color theme="1"/>
        <rFont val="Calibri"/>
        <family val="2"/>
        <charset val="186"/>
        <scheme val="minor"/>
      </rPr>
      <t>(at other Entry, Exit points SFs are not applied)</t>
    </r>
    <r>
      <rPr>
        <b/>
        <sz val="10"/>
        <color theme="1"/>
        <rFont val="Calibri"/>
        <family val="2"/>
        <charset val="186"/>
        <scheme val="minor"/>
      </rPr>
      <t>:</t>
    </r>
  </si>
  <si>
    <t>For (LT) Domestic and (LT&gt;RU) Šakiai Exit points</t>
  </si>
  <si>
    <t>As required per Article 29(a)(ii) of TAR NC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</si>
</sst>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 _z_ł"/>
    <numFmt numFmtId="165" formatCode="_-* #,##0\ _z_ł_-;\-* #,##0\ _z_ł_-;_-* &quot;-&quot;??\ _z_ł_-;_-@_-"/>
    <numFmt numFmtId="166" formatCode="_-* #,##0.0000\ _z_ł_-;\-* #,##0.0000\ _z_ł_-;_-* &quot;-&quot;??\ _z_ł_-;_-@_-"/>
    <numFmt numFmtId="167" formatCode="0.0%"/>
    <numFmt numFmtId="168" formatCode="#,##0.000"/>
  </numFmts>
  <fonts count="35" x14ac:knownFonts="1">
    <font>
      <sz val="11"/>
      <color theme="1"/>
      <name val="Calibri"/>
      <family val="2"/>
      <scheme val="minor"/>
    </font>
    <font>
      <sz val="11"/>
      <color theme="1"/>
      <name val="Calibri"/>
      <family val="2"/>
      <charset val="186"/>
      <scheme val="minor"/>
    </font>
    <font>
      <sz val="11"/>
      <color theme="1"/>
      <name val="Calibri"/>
      <family val="2"/>
      <scheme val="minor"/>
    </font>
    <font>
      <sz val="11"/>
      <color theme="1"/>
      <name val="Calibri"/>
      <family val="2"/>
      <charset val="238"/>
      <scheme val="minor"/>
    </font>
    <font>
      <b/>
      <sz val="12"/>
      <color theme="0"/>
      <name val="Calibri"/>
      <family val="2"/>
      <charset val="238"/>
      <scheme val="minor"/>
    </font>
    <font>
      <b/>
      <sz val="10"/>
      <color theme="1"/>
      <name val="Calibri"/>
      <family val="2"/>
      <charset val="238"/>
      <scheme val="minor"/>
    </font>
    <font>
      <sz val="10"/>
      <color theme="1"/>
      <name val="Calibri"/>
      <family val="2"/>
      <charset val="238"/>
      <scheme val="minor"/>
    </font>
    <font>
      <sz val="10"/>
      <name val="Arial"/>
      <family val="2"/>
      <charset val="238"/>
    </font>
    <font>
      <sz val="10"/>
      <color theme="1"/>
      <name val="Arial"/>
      <family val="2"/>
      <charset val="238"/>
    </font>
    <font>
      <sz val="10"/>
      <color theme="1"/>
      <name val="Calibri"/>
      <family val="2"/>
      <charset val="186"/>
    </font>
    <font>
      <sz val="12"/>
      <color theme="1"/>
      <name val="Calibri"/>
      <family val="2"/>
      <charset val="186"/>
    </font>
    <font>
      <sz val="10"/>
      <color theme="1"/>
      <name val="Calibri"/>
      <family val="2"/>
      <charset val="186"/>
      <scheme val="minor"/>
    </font>
    <font>
      <i/>
      <sz val="10"/>
      <color theme="1"/>
      <name val="Calibri"/>
      <family val="2"/>
      <charset val="186"/>
      <scheme val="minor"/>
    </font>
    <font>
      <b/>
      <sz val="18"/>
      <color theme="1"/>
      <name val="Calibri"/>
      <family val="2"/>
      <charset val="186"/>
    </font>
    <font>
      <b/>
      <sz val="10"/>
      <color theme="1"/>
      <name val="Calibri"/>
      <family val="2"/>
      <charset val="186"/>
      <scheme val="minor"/>
    </font>
    <font>
      <i/>
      <vertAlign val="superscript"/>
      <sz val="9.5"/>
      <color rgb="FF000000"/>
      <name val="Calibri"/>
      <family val="2"/>
      <charset val="186"/>
      <scheme val="minor"/>
    </font>
    <font>
      <i/>
      <sz val="9.5"/>
      <color theme="1"/>
      <name val="Calibri"/>
      <family val="2"/>
      <charset val="186"/>
      <scheme val="minor"/>
    </font>
    <font>
      <i/>
      <vertAlign val="superscript"/>
      <sz val="9.5"/>
      <color theme="1"/>
      <name val="Calibri"/>
      <family val="2"/>
      <charset val="186"/>
      <scheme val="minor"/>
    </font>
    <font>
      <i/>
      <sz val="8"/>
      <color theme="1"/>
      <name val="Calibri"/>
      <family val="2"/>
      <charset val="186"/>
    </font>
    <font>
      <sz val="9"/>
      <color theme="1"/>
      <name val="Calibri"/>
      <family val="2"/>
      <charset val="186"/>
      <scheme val="minor"/>
    </font>
    <font>
      <i/>
      <sz val="9"/>
      <color theme="1"/>
      <name val="Calibri"/>
      <family val="2"/>
      <charset val="186"/>
      <scheme val="minor"/>
    </font>
    <font>
      <vertAlign val="superscript"/>
      <sz val="10"/>
      <color theme="1"/>
      <name val="Calibri"/>
      <family val="2"/>
      <charset val="186"/>
      <scheme val="minor"/>
    </font>
    <font>
      <i/>
      <vertAlign val="superscript"/>
      <sz val="10"/>
      <color theme="1"/>
      <name val="Calibri"/>
      <family val="2"/>
      <charset val="186"/>
      <scheme val="minor"/>
    </font>
    <font>
      <i/>
      <sz val="10"/>
      <color theme="9" tint="-0.249977111117893"/>
      <name val="Calibri"/>
      <family val="2"/>
      <charset val="186"/>
      <scheme val="minor"/>
    </font>
    <font>
      <b/>
      <vertAlign val="superscript"/>
      <sz val="10"/>
      <color theme="1"/>
      <name val="Calibri"/>
      <family val="2"/>
      <charset val="186"/>
      <scheme val="minor"/>
    </font>
    <font>
      <sz val="10"/>
      <color rgb="FFFF0000"/>
      <name val="Calibri"/>
      <family val="2"/>
      <charset val="238"/>
      <scheme val="minor"/>
    </font>
    <font>
      <sz val="9"/>
      <color theme="0"/>
      <name val="Calibri"/>
      <family val="2"/>
      <charset val="186"/>
      <scheme val="minor"/>
    </font>
    <font>
      <sz val="11"/>
      <color rgb="FFFF0000"/>
      <name val="Calibri"/>
      <family val="2"/>
      <charset val="238"/>
      <scheme val="minor"/>
    </font>
    <font>
      <sz val="10"/>
      <color theme="0"/>
      <name val="Calibri"/>
      <family val="2"/>
      <scheme val="minor"/>
    </font>
    <font>
      <sz val="11"/>
      <name val="Calibri"/>
      <family val="2"/>
      <charset val="238"/>
      <scheme val="minor"/>
    </font>
    <font>
      <i/>
      <sz val="12"/>
      <color theme="1"/>
      <name val="Calibri"/>
      <family val="2"/>
      <charset val="186"/>
    </font>
    <font>
      <sz val="11"/>
      <name val="Calibri"/>
      <family val="2"/>
      <charset val="186"/>
      <scheme val="minor"/>
    </font>
    <font>
      <b/>
      <sz val="11"/>
      <color rgb="FFFF0000"/>
      <name val="Calibri"/>
      <family val="2"/>
      <charset val="186"/>
      <scheme val="minor"/>
    </font>
    <font>
      <u/>
      <sz val="11"/>
      <name val="Calibri"/>
      <family val="2"/>
      <charset val="186"/>
      <scheme val="minor"/>
    </font>
    <font>
      <i/>
      <sz val="11"/>
      <color rgb="FFFF0000"/>
      <name val="Calibri"/>
      <family val="2"/>
      <charset val="186"/>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249977111117893"/>
        <bgColor indexed="64"/>
      </patternFill>
    </fill>
    <fill>
      <patternFill patternType="solid">
        <fgColor rgb="FFF5862B"/>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0" borderId="0"/>
    <xf numFmtId="0" fontId="8" fillId="0" borderId="0"/>
  </cellStyleXfs>
  <cellXfs count="124">
    <xf numFmtId="0" fontId="0" fillId="0" borderId="0" xfId="0"/>
    <xf numFmtId="0" fontId="3" fillId="0" borderId="0" xfId="0" applyFont="1" applyBorder="1" applyAlignment="1" applyProtection="1">
      <alignment horizontal="center"/>
    </xf>
    <xf numFmtId="0" fontId="3" fillId="0" borderId="0" xfId="0" applyFont="1" applyBorder="1" applyProtection="1"/>
    <xf numFmtId="0" fontId="3" fillId="0" borderId="0" xfId="0" applyFont="1" applyFill="1" applyBorder="1" applyProtection="1"/>
    <xf numFmtId="0" fontId="6" fillId="4" borderId="0" xfId="0" applyFont="1" applyFill="1" applyBorder="1" applyAlignment="1" applyProtection="1">
      <alignment horizontal="center"/>
    </xf>
    <xf numFmtId="0" fontId="9" fillId="4" borderId="0" xfId="4" applyFont="1" applyFill="1"/>
    <xf numFmtId="0" fontId="9" fillId="0" borderId="0" xfId="4" applyFont="1" applyFill="1" applyBorder="1"/>
    <xf numFmtId="164" fontId="4" fillId="5" borderId="0" xfId="0" applyNumberFormat="1" applyFont="1" applyFill="1" applyBorder="1" applyAlignment="1" applyProtection="1">
      <alignment horizontal="center" vertical="center"/>
    </xf>
    <xf numFmtId="0" fontId="11" fillId="4" borderId="0" xfId="0" applyFont="1" applyFill="1" applyBorder="1" applyProtection="1"/>
    <xf numFmtId="3" fontId="6" fillId="3" borderId="1" xfId="2" applyNumberFormat="1" applyFont="1" applyFill="1" applyBorder="1" applyAlignment="1" applyProtection="1">
      <alignment horizontal="right" vertical="center"/>
    </xf>
    <xf numFmtId="0" fontId="18" fillId="4" borderId="0" xfId="4" applyFont="1" applyFill="1"/>
    <xf numFmtId="0" fontId="12" fillId="3" borderId="0" xfId="0" applyFont="1" applyFill="1" applyBorder="1" applyAlignment="1" applyProtection="1">
      <alignment horizontal="right" vertical="center" wrapText="1"/>
    </xf>
    <xf numFmtId="166" fontId="5" fillId="4" borderId="0" xfId="1" applyNumberFormat="1" applyFont="1" applyFill="1" applyBorder="1" applyProtection="1"/>
    <xf numFmtId="2" fontId="6" fillId="4" borderId="0" xfId="2" applyNumberFormat="1" applyFont="1" applyFill="1" applyBorder="1" applyAlignment="1" applyProtection="1">
      <alignment horizontal="right"/>
    </xf>
    <xf numFmtId="3" fontId="0" fillId="0" borderId="0" xfId="0" applyNumberFormat="1"/>
    <xf numFmtId="3" fontId="6" fillId="4" borderId="0" xfId="2" applyNumberFormat="1" applyFont="1" applyFill="1" applyBorder="1" applyAlignment="1" applyProtection="1">
      <alignment horizontal="right" vertical="center"/>
    </xf>
    <xf numFmtId="0" fontId="23" fillId="0" borderId="0" xfId="0" applyFont="1" applyBorder="1" applyProtection="1"/>
    <xf numFmtId="3" fontId="6" fillId="6" borderId="1" xfId="2" applyNumberFormat="1" applyFont="1" applyFill="1" applyBorder="1" applyAlignment="1" applyProtection="1">
      <alignment horizontal="right" vertical="center"/>
      <protection locked="0"/>
    </xf>
    <xf numFmtId="167" fontId="0" fillId="0" borderId="0" xfId="0" applyNumberFormat="1"/>
    <xf numFmtId="3" fontId="6" fillId="3" borderId="1" xfId="2" applyNumberFormat="1" applyFont="1" applyFill="1" applyBorder="1" applyAlignment="1" applyProtection="1">
      <alignment horizontal="right" vertical="center"/>
      <protection hidden="1"/>
    </xf>
    <xf numFmtId="3" fontId="12" fillId="3" borderId="1" xfId="2" applyNumberFormat="1" applyFont="1" applyFill="1" applyBorder="1" applyAlignment="1" applyProtection="1">
      <alignment horizontal="right" vertical="center"/>
    </xf>
    <xf numFmtId="0" fontId="11" fillId="2"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12" fillId="3" borderId="0"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5" fillId="4" borderId="0" xfId="0" applyFont="1" applyFill="1" applyBorder="1" applyAlignment="1" applyProtection="1">
      <alignment horizontal="left" vertical="center" wrapText="1"/>
    </xf>
    <xf numFmtId="0" fontId="9" fillId="4" borderId="0" xfId="3" applyFont="1" applyFill="1" applyAlignment="1"/>
    <xf numFmtId="164" fontId="4" fillId="5" borderId="0" xfId="0" applyNumberFormat="1"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xf>
    <xf numFmtId="0" fontId="27" fillId="0" borderId="0" xfId="0" applyFont="1" applyBorder="1" applyProtection="1"/>
    <xf numFmtId="0" fontId="11" fillId="3" borderId="0" xfId="0" applyFont="1" applyFill="1" applyBorder="1" applyAlignment="1" applyProtection="1">
      <alignment horizontal="left" vertical="center" wrapText="1"/>
    </xf>
    <xf numFmtId="3" fontId="25" fillId="4" borderId="0" xfId="2" applyNumberFormat="1" applyFont="1" applyFill="1" applyBorder="1" applyAlignment="1" applyProtection="1">
      <alignment horizontal="right" vertical="center"/>
    </xf>
    <xf numFmtId="3" fontId="9" fillId="0" borderId="0" xfId="4" applyNumberFormat="1" applyFont="1" applyFill="1" applyBorder="1"/>
    <xf numFmtId="3" fontId="11" fillId="2" borderId="1" xfId="2" applyNumberFormat="1" applyFont="1" applyFill="1" applyBorder="1" applyAlignment="1" applyProtection="1">
      <alignment horizontal="right" vertical="center"/>
      <protection hidden="1"/>
    </xf>
    <xf numFmtId="2" fontId="6" fillId="3" borderId="1" xfId="2" applyNumberFormat="1" applyFont="1" applyFill="1" applyBorder="1" applyAlignment="1" applyProtection="1">
      <alignment horizontal="right" vertical="center"/>
    </xf>
    <xf numFmtId="2" fontId="6" fillId="4" borderId="0" xfId="2" applyNumberFormat="1" applyFont="1" applyFill="1" applyBorder="1" applyAlignment="1" applyProtection="1">
      <alignment horizontal="right" vertical="center"/>
    </xf>
    <xf numFmtId="0" fontId="0" fillId="0" borderId="0" xfId="0" applyAlignment="1">
      <alignment vertical="center"/>
    </xf>
    <xf numFmtId="164" fontId="5" fillId="2" borderId="0" xfId="0" applyNumberFormat="1" applyFont="1" applyFill="1" applyBorder="1" applyAlignment="1" applyProtection="1">
      <alignment horizontal="right" vertical="center"/>
    </xf>
    <xf numFmtId="165" fontId="6" fillId="0" borderId="0" xfId="1" applyNumberFormat="1" applyFont="1" applyFill="1" applyBorder="1" applyAlignment="1" applyProtection="1">
      <alignment vertical="center"/>
    </xf>
    <xf numFmtId="3" fontId="6" fillId="4" borderId="0" xfId="2" applyNumberFormat="1" applyFont="1" applyFill="1" applyBorder="1" applyAlignment="1" applyProtection="1">
      <alignment vertical="center"/>
    </xf>
    <xf numFmtId="0" fontId="5" fillId="2" borderId="0" xfId="0" applyFont="1" applyFill="1" applyBorder="1" applyAlignment="1" applyProtection="1">
      <alignment horizontal="left" vertical="center" wrapText="1"/>
    </xf>
    <xf numFmtId="3" fontId="6" fillId="3" borderId="1" xfId="2" applyNumberFormat="1" applyFont="1" applyFill="1" applyBorder="1" applyAlignment="1" applyProtection="1">
      <alignment vertical="center"/>
    </xf>
    <xf numFmtId="0" fontId="5" fillId="2" borderId="0" xfId="0" applyFont="1" applyFill="1" applyBorder="1" applyAlignment="1" applyProtection="1">
      <alignment horizontal="left" vertical="center" wrapText="1"/>
    </xf>
    <xf numFmtId="0" fontId="5" fillId="2" borderId="0" xfId="0" applyFont="1" applyFill="1" applyBorder="1" applyAlignment="1" applyProtection="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vertical="center"/>
    </xf>
    <xf numFmtId="0" fontId="11" fillId="4"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12" fillId="3" borderId="0" xfId="0" applyFont="1" applyFill="1" applyBorder="1" applyAlignment="1" applyProtection="1">
      <alignment horizontal="left" vertical="center"/>
    </xf>
    <xf numFmtId="9" fontId="6" fillId="4" borderId="0" xfId="2" applyFont="1" applyFill="1" applyBorder="1" applyAlignment="1" applyProtection="1">
      <alignment horizontal="right" vertical="center"/>
    </xf>
    <xf numFmtId="10" fontId="6" fillId="4" borderId="0" xfId="2" applyNumberFormat="1" applyFont="1" applyFill="1" applyBorder="1" applyAlignment="1" applyProtection="1">
      <alignment horizontal="right" vertical="center"/>
    </xf>
    <xf numFmtId="10" fontId="6" fillId="0" borderId="0" xfId="0" applyNumberFormat="1" applyFont="1"/>
    <xf numFmtId="164" fontId="6" fillId="0" borderId="0" xfId="0" applyNumberFormat="1" applyFont="1" applyFill="1" applyBorder="1" applyAlignment="1" applyProtection="1">
      <alignment horizontal="right" vertical="center"/>
    </xf>
    <xf numFmtId="164" fontId="6" fillId="4"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right" vertical="center"/>
    </xf>
    <xf numFmtId="0" fontId="12" fillId="4" borderId="0" xfId="0" applyFont="1" applyFill="1" applyBorder="1" applyAlignment="1" applyProtection="1">
      <alignment horizontal="right" vertical="center"/>
    </xf>
    <xf numFmtId="164" fontId="12" fillId="4" borderId="0" xfId="0" applyNumberFormat="1" applyFont="1" applyFill="1" applyBorder="1" applyAlignment="1" applyProtection="1">
      <alignment horizontal="right" vertical="center"/>
    </xf>
    <xf numFmtId="3" fontId="12" fillId="4" borderId="0" xfId="2" applyNumberFormat="1" applyFont="1" applyFill="1" applyBorder="1" applyAlignment="1" applyProtection="1">
      <alignment horizontal="right" vertical="center"/>
    </xf>
    <xf numFmtId="168" fontId="0" fillId="0" borderId="0" xfId="0" applyNumberFormat="1" applyAlignment="1">
      <alignment vertical="center"/>
    </xf>
    <xf numFmtId="0" fontId="5" fillId="0" borderId="0" xfId="0" applyFont="1" applyFill="1" applyBorder="1" applyAlignment="1" applyProtection="1">
      <alignment vertical="center"/>
    </xf>
    <xf numFmtId="164" fontId="5" fillId="0" borderId="0" xfId="0" applyNumberFormat="1" applyFont="1" applyFill="1" applyBorder="1" applyAlignment="1" applyProtection="1">
      <alignment horizontal="right" vertical="center"/>
    </xf>
    <xf numFmtId="0" fontId="6" fillId="3" borderId="0" xfId="0" applyFont="1" applyFill="1" applyBorder="1" applyAlignment="1" applyProtection="1">
      <alignment vertical="center"/>
    </xf>
    <xf numFmtId="9" fontId="6" fillId="0" borderId="0" xfId="2" applyFont="1" applyFill="1" applyBorder="1" applyAlignment="1" applyProtection="1">
      <alignment vertical="center"/>
    </xf>
    <xf numFmtId="9" fontId="6" fillId="3" borderId="1" xfId="2" applyFont="1" applyFill="1" applyBorder="1" applyAlignment="1" applyProtection="1">
      <alignment horizontal="right" vertical="center"/>
    </xf>
    <xf numFmtId="0" fontId="6" fillId="4" borderId="0" xfId="0" applyFont="1" applyFill="1" applyBorder="1" applyAlignment="1" applyProtection="1">
      <alignment vertical="center"/>
    </xf>
    <xf numFmtId="9" fontId="6" fillId="4" borderId="0" xfId="2" applyFont="1" applyFill="1" applyBorder="1" applyAlignment="1" applyProtection="1">
      <alignment vertical="center"/>
    </xf>
    <xf numFmtId="9" fontId="5" fillId="0" borderId="0" xfId="2" applyFont="1" applyFill="1" applyBorder="1" applyAlignment="1" applyProtection="1">
      <alignment vertical="center"/>
    </xf>
    <xf numFmtId="9" fontId="5" fillId="2" borderId="0" xfId="2"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164" fontId="11" fillId="4" borderId="0" xfId="0" applyNumberFormat="1" applyFont="1" applyFill="1" applyBorder="1" applyAlignment="1" applyProtection="1">
      <alignment horizontal="right" vertical="center"/>
    </xf>
    <xf numFmtId="164" fontId="5" fillId="2" borderId="2" xfId="0" applyNumberFormat="1" applyFont="1" applyFill="1" applyBorder="1" applyAlignment="1" applyProtection="1">
      <alignment horizontal="right" vertical="center"/>
    </xf>
    <xf numFmtId="166" fontId="5" fillId="0" borderId="0" xfId="1" applyNumberFormat="1" applyFont="1" applyFill="1" applyBorder="1" applyAlignment="1" applyProtection="1">
      <alignment vertical="center"/>
    </xf>
    <xf numFmtId="166" fontId="5" fillId="4" borderId="0" xfId="1" applyNumberFormat="1" applyFont="1" applyFill="1" applyBorder="1" applyAlignment="1" applyProtection="1">
      <alignment vertical="center"/>
    </xf>
    <xf numFmtId="0" fontId="0" fillId="4" borderId="0" xfId="0" applyFill="1" applyAlignment="1">
      <alignment vertical="center"/>
    </xf>
    <xf numFmtId="9" fontId="6" fillId="6" borderId="1" xfId="2" applyFont="1" applyFill="1" applyBorder="1" applyAlignment="1" applyProtection="1">
      <alignment horizontal="right" vertical="center"/>
      <protection locked="0"/>
    </xf>
    <xf numFmtId="9" fontId="6" fillId="0" borderId="0" xfId="2" applyFont="1" applyFill="1" applyBorder="1" applyAlignment="1" applyProtection="1">
      <alignment horizontal="right" vertical="center"/>
    </xf>
    <xf numFmtId="0" fontId="0" fillId="0" borderId="0" xfId="0" applyFill="1" applyAlignment="1">
      <alignment vertical="center"/>
    </xf>
    <xf numFmtId="165" fontId="12" fillId="0" borderId="0" xfId="1" applyNumberFormat="1" applyFont="1" applyFill="1" applyBorder="1" applyAlignment="1" applyProtection="1">
      <alignment vertical="center"/>
    </xf>
    <xf numFmtId="3" fontId="12" fillId="6" borderId="1" xfId="2" applyNumberFormat="1" applyFont="1" applyFill="1" applyBorder="1" applyAlignment="1" applyProtection="1">
      <alignment horizontal="right" vertical="center"/>
      <protection locked="0"/>
    </xf>
    <xf numFmtId="2" fontId="6" fillId="3" borderId="1" xfId="2" applyNumberFormat="1" applyFont="1" applyFill="1" applyBorder="1" applyAlignment="1" applyProtection="1">
      <alignment horizontal="right" vertical="center"/>
      <protection hidden="1"/>
    </xf>
    <xf numFmtId="9" fontId="6" fillId="2" borderId="1" xfId="2" applyFont="1" applyFill="1" applyBorder="1" applyAlignment="1" applyProtection="1">
      <alignment horizontal="right" vertical="center"/>
    </xf>
    <xf numFmtId="3" fontId="12" fillId="3" borderId="1" xfId="2" applyNumberFormat="1" applyFont="1" applyFill="1" applyBorder="1" applyAlignment="1" applyProtection="1">
      <alignment vertical="center"/>
    </xf>
    <xf numFmtId="3" fontId="11" fillId="6" borderId="1" xfId="2" applyNumberFormat="1" applyFont="1" applyFill="1" applyBorder="1" applyAlignment="1" applyProtection="1">
      <alignment horizontal="right" vertical="center"/>
      <protection locked="0"/>
    </xf>
    <xf numFmtId="9" fontId="28" fillId="0" borderId="0" xfId="2" applyNumberFormat="1" applyFont="1" applyProtection="1">
      <protection hidden="1"/>
    </xf>
    <xf numFmtId="0" fontId="10" fillId="4" borderId="0" xfId="3" applyFont="1" applyFill="1" applyAlignment="1">
      <alignment horizontal="left"/>
    </xf>
    <xf numFmtId="0" fontId="34" fillId="0" borderId="0" xfId="0" applyFont="1" applyAlignment="1">
      <alignment wrapText="1"/>
    </xf>
    <xf numFmtId="3" fontId="6" fillId="6" borderId="1" xfId="2" applyNumberFormat="1" applyFont="1" applyFill="1" applyBorder="1" applyAlignment="1" applyProtection="1">
      <alignment vertical="center"/>
      <protection locked="0"/>
    </xf>
    <xf numFmtId="0" fontId="14" fillId="2" borderId="0" xfId="0" applyFont="1" applyFill="1" applyBorder="1" applyAlignment="1" applyProtection="1">
      <alignment horizontal="left"/>
    </xf>
    <xf numFmtId="164" fontId="11" fillId="2" borderId="1" xfId="0" applyNumberFormat="1" applyFont="1" applyFill="1" applyBorder="1" applyAlignment="1" applyProtection="1">
      <alignment horizontal="center" vertical="center" wrapText="1"/>
    </xf>
    <xf numFmtId="0" fontId="11" fillId="3" borderId="0" xfId="0" applyNumberFormat="1" applyFont="1" applyFill="1" applyBorder="1" applyAlignment="1" applyProtection="1">
      <alignment horizontal="left" vertical="center"/>
    </xf>
    <xf numFmtId="0" fontId="11" fillId="3" borderId="0" xfId="0" applyNumberFormat="1" applyFont="1" applyFill="1" applyBorder="1" applyAlignment="1" applyProtection="1">
      <alignment horizontal="center" vertical="center"/>
    </xf>
    <xf numFmtId="2" fontId="11" fillId="3" borderId="1" xfId="0" applyNumberFormat="1" applyFont="1" applyFill="1" applyBorder="1" applyAlignment="1" applyProtection="1">
      <alignment horizontal="center" vertical="center" wrapText="1"/>
    </xf>
    <xf numFmtId="0" fontId="11" fillId="3" borderId="1" xfId="0" applyNumberFormat="1" applyFont="1" applyFill="1" applyBorder="1" applyAlignment="1" applyProtection="1">
      <alignment horizontal="center" vertical="center" wrapText="1"/>
    </xf>
    <xf numFmtId="0" fontId="0" fillId="2" borderId="0" xfId="0" applyFill="1"/>
    <xf numFmtId="0" fontId="15" fillId="0" borderId="0" xfId="0" applyFont="1" applyAlignment="1">
      <alignment horizontal="left" vertical="center" wrapText="1"/>
    </xf>
    <xf numFmtId="0" fontId="13" fillId="4" borderId="0" xfId="3" applyFont="1" applyFill="1" applyAlignment="1">
      <alignment horizontal="left" vertical="center" wrapText="1"/>
    </xf>
    <xf numFmtId="0" fontId="10" fillId="4" borderId="0" xfId="3" applyFont="1" applyFill="1" applyAlignment="1">
      <alignment horizontal="left"/>
    </xf>
    <xf numFmtId="0" fontId="10" fillId="4" borderId="0" xfId="3" applyFont="1" applyFill="1" applyAlignment="1">
      <alignment horizontal="left" vertical="center"/>
    </xf>
    <xf numFmtId="0" fontId="9" fillId="4" borderId="0" xfId="3" applyFont="1" applyFill="1" applyAlignment="1">
      <alignment horizontal="left"/>
    </xf>
    <xf numFmtId="0" fontId="16" fillId="0" borderId="0" xfId="0" applyFont="1" applyAlignment="1">
      <alignment horizontal="left" vertical="center" wrapText="1"/>
    </xf>
    <xf numFmtId="0" fontId="5" fillId="2" borderId="0" xfId="0" applyFont="1" applyFill="1" applyBorder="1" applyAlignment="1" applyProtection="1">
      <alignment horizontal="left" vertical="center" wrapText="1"/>
    </xf>
    <xf numFmtId="0" fontId="16" fillId="0" borderId="0" xfId="0" applyFont="1" applyFill="1" applyAlignment="1">
      <alignment horizontal="left" vertical="center" wrapText="1"/>
    </xf>
    <xf numFmtId="0" fontId="31" fillId="0" borderId="0" xfId="0" applyFont="1" applyBorder="1" applyAlignment="1" applyProtection="1">
      <alignment vertical="top" wrapText="1"/>
    </xf>
    <xf numFmtId="0" fontId="29" fillId="0" borderId="0" xfId="0" applyFont="1" applyBorder="1" applyAlignment="1" applyProtection="1">
      <alignment vertical="top" wrapText="1"/>
    </xf>
    <xf numFmtId="0" fontId="13" fillId="4" borderId="0" xfId="3" applyFont="1" applyFill="1" applyAlignment="1">
      <alignment horizontal="left" vertical="center"/>
    </xf>
    <xf numFmtId="0" fontId="34" fillId="0" borderId="3" xfId="0" applyFont="1" applyBorder="1" applyAlignment="1" applyProtection="1">
      <alignment horizontal="center"/>
    </xf>
    <xf numFmtId="0" fontId="34" fillId="0" borderId="4" xfId="0" applyFont="1" applyBorder="1" applyAlignment="1" applyProtection="1">
      <alignment horizontal="center"/>
    </xf>
    <xf numFmtId="0" fontId="34" fillId="0" borderId="5" xfId="0" applyFont="1" applyBorder="1" applyAlignment="1" applyProtection="1">
      <alignment horizontal="center"/>
    </xf>
    <xf numFmtId="164" fontId="14" fillId="2" borderId="3" xfId="0" applyNumberFormat="1" applyFont="1" applyFill="1" applyBorder="1" applyAlignment="1" applyProtection="1">
      <alignment horizontal="center" vertical="center" wrapText="1"/>
    </xf>
    <xf numFmtId="164" fontId="14" fillId="2" borderId="4" xfId="0" applyNumberFormat="1" applyFont="1" applyFill="1" applyBorder="1" applyAlignment="1" applyProtection="1">
      <alignment horizontal="center" vertical="center" wrapText="1"/>
    </xf>
    <xf numFmtId="164" fontId="14" fillId="2" borderId="5" xfId="0" applyNumberFormat="1" applyFont="1" applyFill="1" applyBorder="1" applyAlignment="1" applyProtection="1">
      <alignment horizontal="center" vertical="center" wrapText="1"/>
    </xf>
    <xf numFmtId="0" fontId="14" fillId="2" borderId="0" xfId="0" applyFont="1" applyFill="1" applyBorder="1" applyAlignment="1" applyProtection="1">
      <alignment horizontal="left" vertical="center" wrapText="1"/>
    </xf>
    <xf numFmtId="164" fontId="11" fillId="2" borderId="0" xfId="0" applyNumberFormat="1" applyFont="1" applyFill="1" applyBorder="1" applyAlignment="1" applyProtection="1">
      <alignment horizontal="left" vertical="center" wrapText="1"/>
    </xf>
    <xf numFmtId="164" fontId="11" fillId="2" borderId="0" xfId="0" applyNumberFormat="1" applyFont="1" applyFill="1" applyBorder="1" applyAlignment="1" applyProtection="1">
      <alignment horizontal="center" vertical="center" wrapText="1"/>
    </xf>
    <xf numFmtId="164" fontId="14" fillId="2" borderId="1" xfId="0" applyNumberFormat="1" applyFont="1" applyFill="1" applyBorder="1" applyAlignment="1" applyProtection="1">
      <alignment horizontal="center" vertical="center" wrapText="1"/>
    </xf>
    <xf numFmtId="3" fontId="14" fillId="2" borderId="1" xfId="0" applyNumberFormat="1" applyFont="1" applyFill="1" applyBorder="1" applyAlignment="1" applyProtection="1">
      <alignment horizontal="center" vertical="center" wrapText="1"/>
    </xf>
  </cellXfs>
  <cellStyles count="5">
    <cellStyle name="Comma" xfId="1" builtinId="3"/>
    <cellStyle name="Normal" xfId="0" builtinId="0"/>
    <cellStyle name="Normal 2 2" xfId="3"/>
    <cellStyle name="Normal 4" xfId="4"/>
    <cellStyle name="Percent" xfId="2" builtinId="5"/>
  </cellStyles>
  <dxfs count="0"/>
  <tableStyles count="0" defaultTableStyle="TableStyleMedium2" defaultPivotStyle="PivotStyleMedium9"/>
  <colors>
    <mruColors>
      <color rgb="FFF5862B"/>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1059181</xdr:colOff>
      <xdr:row>1</xdr:row>
      <xdr:rowOff>37963</xdr:rowOff>
    </xdr:from>
    <xdr:to>
      <xdr:col>6</xdr:col>
      <xdr:colOff>795867</xdr:colOff>
      <xdr:row>4</xdr:row>
      <xdr:rowOff>87331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8514" y="359696"/>
          <a:ext cx="1226820" cy="650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592667</xdr:colOff>
      <xdr:row>0</xdr:row>
      <xdr:rowOff>1</xdr:rowOff>
    </xdr:from>
    <xdr:to>
      <xdr:col>8</xdr:col>
      <xdr:colOff>1027007</xdr:colOff>
      <xdr:row>3</xdr:row>
      <xdr:rowOff>108409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9067" y="1"/>
          <a:ext cx="1543473" cy="819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52495</xdr:colOff>
      <xdr:row>0</xdr:row>
      <xdr:rowOff>105697</xdr:rowOff>
    </xdr:from>
    <xdr:to>
      <xdr:col>29</xdr:col>
      <xdr:colOff>22014</xdr:colOff>
      <xdr:row>3</xdr:row>
      <xdr:rowOff>98339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6095" y="105697"/>
          <a:ext cx="1222586" cy="678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2"/>
  <sheetViews>
    <sheetView showGridLines="0" tabSelected="1" zoomScale="90" zoomScaleNormal="90" workbookViewId="0">
      <selection activeCell="G10" sqref="G10"/>
    </sheetView>
  </sheetViews>
  <sheetFormatPr defaultRowHeight="14.4" x14ac:dyDescent="0.3"/>
  <cols>
    <col min="1" max="1" width="2.109375" customWidth="1"/>
    <col min="2" max="2" width="71.44140625" customWidth="1"/>
    <col min="3" max="3" width="18.77734375" customWidth="1"/>
    <col min="4" max="4" width="2.6640625" customWidth="1"/>
    <col min="5" max="5" width="19" customWidth="1"/>
    <col min="6" max="6" width="2.6640625" customWidth="1"/>
    <col min="7" max="7" width="21.77734375" customWidth="1"/>
  </cols>
  <sheetData>
    <row r="1" spans="2:10" ht="31.2" customHeight="1" x14ac:dyDescent="0.3">
      <c r="B1" s="103" t="s">
        <v>31</v>
      </c>
      <c r="C1" s="103"/>
      <c r="D1" s="103"/>
      <c r="E1" s="103"/>
      <c r="F1" s="103"/>
      <c r="G1" s="103"/>
    </row>
    <row r="2" spans="2:10" ht="15.6" customHeight="1" x14ac:dyDescent="0.3">
      <c r="B2" s="104" t="s">
        <v>5</v>
      </c>
      <c r="C2" s="104"/>
      <c r="D2" s="104"/>
      <c r="E2" s="104"/>
      <c r="F2" s="104"/>
      <c r="G2" s="104"/>
    </row>
    <row r="3" spans="2:10" ht="17.399999999999999" customHeight="1" x14ac:dyDescent="0.3">
      <c r="B3" s="105" t="s">
        <v>30</v>
      </c>
      <c r="C3" s="105"/>
      <c r="D3" s="105"/>
      <c r="E3" s="105"/>
      <c r="F3" s="105"/>
      <c r="G3" s="105"/>
    </row>
    <row r="4" spans="2:10" x14ac:dyDescent="0.3">
      <c r="B4" s="10"/>
      <c r="C4" s="5"/>
      <c r="D4" s="5"/>
      <c r="E4" s="5"/>
      <c r="F4" s="6"/>
    </row>
    <row r="5" spans="2:10" x14ac:dyDescent="0.3">
      <c r="B5" s="106" t="s">
        <v>4</v>
      </c>
      <c r="C5" s="106"/>
      <c r="D5" s="106"/>
      <c r="E5" s="106"/>
      <c r="F5" s="106"/>
      <c r="G5" s="106"/>
    </row>
    <row r="6" spans="2:10" ht="7.8" customHeight="1" x14ac:dyDescent="0.3"/>
    <row r="7" spans="2:10" ht="28.8" x14ac:dyDescent="0.3">
      <c r="B7" s="16"/>
      <c r="C7" s="1"/>
      <c r="D7" s="3"/>
      <c r="E7" s="3"/>
      <c r="G7" s="93" t="s">
        <v>14</v>
      </c>
    </row>
    <row r="8" spans="2:10" ht="192" customHeight="1" x14ac:dyDescent="0.3">
      <c r="B8" s="110" t="s">
        <v>47</v>
      </c>
      <c r="C8" s="111"/>
      <c r="D8" s="2"/>
      <c r="E8" s="7" t="s">
        <v>0</v>
      </c>
      <c r="G8" s="33" t="s">
        <v>16</v>
      </c>
    </row>
    <row r="9" spans="2:10" x14ac:dyDescent="0.3">
      <c r="B9" s="35"/>
      <c r="C9" s="1"/>
      <c r="D9" s="2"/>
      <c r="E9" s="2"/>
      <c r="G9" s="2"/>
    </row>
    <row r="10" spans="2:10" ht="16.2" customHeight="1" x14ac:dyDescent="0.3">
      <c r="B10" s="46" t="s">
        <v>15</v>
      </c>
      <c r="C10" s="21" t="s">
        <v>23</v>
      </c>
      <c r="D10" s="59"/>
      <c r="E10" s="9">
        <v>42671</v>
      </c>
      <c r="F10" s="42"/>
      <c r="G10" s="17">
        <v>42671</v>
      </c>
    </row>
    <row r="11" spans="2:10" ht="30.6" customHeight="1" x14ac:dyDescent="0.3">
      <c r="B11" s="36" t="s">
        <v>28</v>
      </c>
      <c r="C11" s="22" t="s">
        <v>23</v>
      </c>
      <c r="D11" s="61"/>
      <c r="E11" s="9">
        <v>26488</v>
      </c>
      <c r="F11" s="42"/>
      <c r="G11" s="19">
        <f>E11/E10*G10</f>
        <v>26488</v>
      </c>
      <c r="J11" s="18"/>
    </row>
    <row r="12" spans="2:10" ht="15" x14ac:dyDescent="0.3">
      <c r="B12" s="54" t="s">
        <v>32</v>
      </c>
      <c r="C12" s="22" t="s">
        <v>23</v>
      </c>
      <c r="D12" s="61"/>
      <c r="E12" s="9">
        <v>16183</v>
      </c>
      <c r="F12" s="42"/>
      <c r="G12" s="19">
        <f>G10-G11</f>
        <v>16183</v>
      </c>
    </row>
    <row r="13" spans="2:10" x14ac:dyDescent="0.3">
      <c r="B13" s="66"/>
      <c r="C13" s="23"/>
      <c r="D13" s="59"/>
      <c r="E13" s="59"/>
      <c r="F13" s="42"/>
      <c r="G13" s="59"/>
    </row>
    <row r="14" spans="2:10" ht="16.2" customHeight="1" x14ac:dyDescent="0.3">
      <c r="B14" s="46" t="s">
        <v>33</v>
      </c>
      <c r="C14" s="21" t="s">
        <v>23</v>
      </c>
      <c r="D14" s="59"/>
      <c r="E14" s="9">
        <v>6380</v>
      </c>
      <c r="F14" s="42"/>
      <c r="G14" s="17">
        <v>6380</v>
      </c>
    </row>
    <row r="15" spans="2:10" ht="16.2" customHeight="1" x14ac:dyDescent="0.3">
      <c r="B15" s="31"/>
      <c r="C15" s="30"/>
      <c r="D15" s="60"/>
      <c r="E15" s="42"/>
      <c r="F15" s="81"/>
      <c r="G15" s="37"/>
    </row>
    <row r="16" spans="2:10" ht="28.8" customHeight="1" x14ac:dyDescent="0.3">
      <c r="B16" s="46" t="s">
        <v>27</v>
      </c>
      <c r="C16" s="21" t="s">
        <v>23</v>
      </c>
      <c r="D16" s="59"/>
      <c r="E16" s="9">
        <f>E10-E14</f>
        <v>36291</v>
      </c>
      <c r="F16" s="42"/>
      <c r="G16" s="9">
        <f>G10-G14</f>
        <v>36291</v>
      </c>
    </row>
    <row r="17" spans="2:7" x14ac:dyDescent="0.3">
      <c r="B17" s="66"/>
      <c r="C17" s="23"/>
      <c r="D17" s="59"/>
      <c r="E17" s="59"/>
      <c r="F17" s="42"/>
      <c r="G17" s="59"/>
    </row>
    <row r="18" spans="2:7" x14ac:dyDescent="0.3">
      <c r="B18" s="49" t="s">
        <v>11</v>
      </c>
      <c r="C18" s="24"/>
      <c r="D18" s="67"/>
      <c r="E18" s="43"/>
      <c r="F18" s="42"/>
      <c r="G18" s="43"/>
    </row>
    <row r="19" spans="2:7" x14ac:dyDescent="0.3">
      <c r="B19" s="68" t="s">
        <v>12</v>
      </c>
      <c r="C19" s="25" t="s">
        <v>1</v>
      </c>
      <c r="D19" s="69"/>
      <c r="E19" s="70">
        <v>0.2</v>
      </c>
      <c r="F19" s="42"/>
      <c r="G19" s="82">
        <v>0.2</v>
      </c>
    </row>
    <row r="20" spans="2:7" x14ac:dyDescent="0.3">
      <c r="B20" s="68" t="s">
        <v>13</v>
      </c>
      <c r="C20" s="25" t="s">
        <v>1</v>
      </c>
      <c r="D20" s="69"/>
      <c r="E20" s="70">
        <f>1-E19</f>
        <v>0.8</v>
      </c>
      <c r="F20" s="42"/>
      <c r="G20" s="70">
        <f>1-G19</f>
        <v>0.8</v>
      </c>
    </row>
    <row r="21" spans="2:7" x14ac:dyDescent="0.3">
      <c r="B21" s="75"/>
      <c r="C21" s="26"/>
      <c r="D21" s="69"/>
      <c r="E21" s="83"/>
      <c r="F21" s="84"/>
      <c r="G21" s="83"/>
    </row>
    <row r="22" spans="2:7" ht="15" x14ac:dyDescent="0.3">
      <c r="B22" s="49" t="s">
        <v>36</v>
      </c>
      <c r="C22" s="24"/>
      <c r="D22" s="73"/>
      <c r="E22" s="74"/>
      <c r="F22" s="42"/>
      <c r="G22" s="74"/>
    </row>
    <row r="23" spans="2:7" x14ac:dyDescent="0.3">
      <c r="B23" s="68" t="s">
        <v>2</v>
      </c>
      <c r="C23" s="25" t="s">
        <v>1</v>
      </c>
      <c r="D23" s="69"/>
      <c r="E23" s="70">
        <v>0.7097</v>
      </c>
      <c r="F23" s="42"/>
      <c r="G23" s="82">
        <v>0.7097</v>
      </c>
    </row>
    <row r="24" spans="2:7" x14ac:dyDescent="0.3">
      <c r="B24" s="68" t="s">
        <v>3</v>
      </c>
      <c r="C24" s="25" t="s">
        <v>1</v>
      </c>
      <c r="D24" s="69"/>
      <c r="E24" s="70">
        <f>1-E23</f>
        <v>0.2903</v>
      </c>
      <c r="F24" s="42"/>
      <c r="G24" s="70">
        <f>1-G23</f>
        <v>0.2903</v>
      </c>
    </row>
    <row r="25" spans="2:7" x14ac:dyDescent="0.3">
      <c r="B25" s="71"/>
      <c r="C25" s="29"/>
      <c r="D25" s="72"/>
      <c r="E25" s="56"/>
      <c r="F25" s="81"/>
      <c r="G25" s="56"/>
    </row>
    <row r="26" spans="2:7" x14ac:dyDescent="0.3">
      <c r="B26" s="49" t="s">
        <v>7</v>
      </c>
      <c r="C26" s="21" t="s">
        <v>1</v>
      </c>
      <c r="D26" s="69"/>
      <c r="E26" s="70">
        <v>0.75</v>
      </c>
      <c r="F26" s="42"/>
      <c r="G26" s="82">
        <v>0.75</v>
      </c>
    </row>
    <row r="27" spans="2:7" x14ac:dyDescent="0.3">
      <c r="B27" s="76"/>
      <c r="C27" s="27"/>
      <c r="D27" s="75"/>
      <c r="E27" s="76"/>
      <c r="F27" s="42"/>
      <c r="G27" s="76"/>
    </row>
    <row r="28" spans="2:7" x14ac:dyDescent="0.3">
      <c r="B28" s="49" t="s">
        <v>10</v>
      </c>
      <c r="C28" s="24"/>
      <c r="D28" s="67"/>
      <c r="E28" s="43"/>
      <c r="F28" s="42"/>
      <c r="G28" s="43"/>
    </row>
    <row r="29" spans="2:7" x14ac:dyDescent="0.3">
      <c r="B29" s="50" t="s">
        <v>37</v>
      </c>
      <c r="C29" s="25" t="s">
        <v>6</v>
      </c>
      <c r="D29" s="44"/>
      <c r="E29" s="9">
        <f>E30+E34</f>
        <v>117200</v>
      </c>
      <c r="F29" s="42"/>
      <c r="G29" s="9">
        <f>G30+G34</f>
        <v>117200</v>
      </c>
    </row>
    <row r="30" spans="2:7" x14ac:dyDescent="0.3">
      <c r="B30" s="51" t="s">
        <v>26</v>
      </c>
      <c r="C30" s="28" t="s">
        <v>6</v>
      </c>
      <c r="D30" s="85"/>
      <c r="E30" s="20">
        <v>8000</v>
      </c>
      <c r="F30" s="42"/>
      <c r="G30" s="86">
        <v>8000</v>
      </c>
    </row>
    <row r="31" spans="2:7" x14ac:dyDescent="0.3">
      <c r="B31" s="50" t="s">
        <v>38</v>
      </c>
      <c r="C31" s="25" t="s">
        <v>6</v>
      </c>
      <c r="D31" s="44"/>
      <c r="E31" s="9">
        <v>0</v>
      </c>
      <c r="F31" s="42"/>
      <c r="G31" s="17">
        <v>0</v>
      </c>
    </row>
    <row r="32" spans="2:7" x14ac:dyDescent="0.3">
      <c r="B32" s="50" t="s">
        <v>39</v>
      </c>
      <c r="C32" s="25" t="s">
        <v>6</v>
      </c>
      <c r="D32" s="44"/>
      <c r="E32" s="9">
        <v>21350</v>
      </c>
      <c r="F32" s="42"/>
      <c r="G32" s="17">
        <v>21350</v>
      </c>
    </row>
    <row r="33" spans="2:7" x14ac:dyDescent="0.3">
      <c r="B33" s="50" t="s">
        <v>40</v>
      </c>
      <c r="C33" s="25" t="s">
        <v>6</v>
      </c>
      <c r="D33" s="44"/>
      <c r="E33" s="9">
        <v>25</v>
      </c>
      <c r="F33" s="42"/>
      <c r="G33" s="17">
        <v>25</v>
      </c>
    </row>
    <row r="34" spans="2:7" x14ac:dyDescent="0.3">
      <c r="B34" s="50" t="s">
        <v>41</v>
      </c>
      <c r="C34" s="25" t="s">
        <v>6</v>
      </c>
      <c r="D34" s="44"/>
      <c r="E34" s="9">
        <v>109200</v>
      </c>
      <c r="F34" s="42"/>
      <c r="G34" s="17">
        <v>109200</v>
      </c>
    </row>
    <row r="35" spans="2:7" x14ac:dyDescent="0.3">
      <c r="B35" s="50" t="s">
        <v>42</v>
      </c>
      <c r="C35" s="25" t="s">
        <v>6</v>
      </c>
      <c r="D35" s="44"/>
      <c r="E35" s="9">
        <v>83509.600000000006</v>
      </c>
      <c r="F35" s="42"/>
      <c r="G35" s="17">
        <v>83509.600000000006</v>
      </c>
    </row>
    <row r="36" spans="2:7" x14ac:dyDescent="0.3">
      <c r="B36" s="75"/>
      <c r="C36" s="26"/>
      <c r="D36" s="44"/>
      <c r="E36" s="44"/>
      <c r="F36" s="42"/>
      <c r="G36" s="44"/>
    </row>
    <row r="37" spans="2:7" ht="15" customHeight="1" x14ac:dyDescent="0.3">
      <c r="B37" s="108" t="s">
        <v>25</v>
      </c>
      <c r="C37" s="108"/>
      <c r="D37" s="67"/>
      <c r="E37" s="43"/>
      <c r="F37" s="42"/>
      <c r="G37" s="43"/>
    </row>
    <row r="38" spans="2:7" x14ac:dyDescent="0.3">
      <c r="B38" s="50" t="s">
        <v>37</v>
      </c>
      <c r="C38" s="25" t="s">
        <v>8</v>
      </c>
      <c r="D38" s="79"/>
      <c r="E38" s="87">
        <f>($E$11*$E$19-$E$40*$E$32/1000)/($E$29+$E$31)*1000</f>
        <v>43.460027860471023</v>
      </c>
      <c r="F38" s="42"/>
      <c r="G38" s="87">
        <f>($G$11*$G$19-$G$40*$G$32/1000)/($G$29+$G$31)*1000</f>
        <v>43.460027860471023</v>
      </c>
    </row>
    <row r="39" spans="2:7" x14ac:dyDescent="0.3">
      <c r="B39" s="50" t="s">
        <v>38</v>
      </c>
      <c r="C39" s="25" t="s">
        <v>8</v>
      </c>
      <c r="D39" s="79"/>
      <c r="E39" s="87">
        <f>($E$11*$E$19-$E$40*$E$32/1000)/($E$29+$E$31)*1000</f>
        <v>43.460027860471023</v>
      </c>
      <c r="F39" s="42"/>
      <c r="G39" s="87">
        <f>($G$11*$G$19-$G$40*$G$32/1000)/($G$29+$G$31)*1000</f>
        <v>43.460027860471023</v>
      </c>
    </row>
    <row r="40" spans="2:7" x14ac:dyDescent="0.3">
      <c r="B40" s="50" t="s">
        <v>39</v>
      </c>
      <c r="C40" s="25" t="s">
        <v>8</v>
      </c>
      <c r="D40" s="79"/>
      <c r="E40" s="87">
        <f>$E$11*$E$19/SUM(E29,E31:E32)*1000*(1-E26)</f>
        <v>9.5590039696860352</v>
      </c>
      <c r="F40" s="42"/>
      <c r="G40" s="87">
        <f>$G$11*$G$19/SUM(G29,G31:G32)*1000*(1-G26)</f>
        <v>9.5590039696860352</v>
      </c>
    </row>
    <row r="41" spans="2:7" x14ac:dyDescent="0.3">
      <c r="B41" s="50" t="s">
        <v>40</v>
      </c>
      <c r="C41" s="25" t="s">
        <v>8</v>
      </c>
      <c r="D41" s="79"/>
      <c r="E41" s="87">
        <f>($E$11*E20-$E$42/0.66*$E$34/1000-($E$14*(1-$E$12/($E$12+$E$11*$E$20-$E$42/0.66*$E$34/1000))))/SUM(E33,E35)*1000</f>
        <v>152.95011664883802</v>
      </c>
      <c r="F41" s="42"/>
      <c r="G41" s="87">
        <f>($G$11*G20-$G$42/G44*$G$34/1000-($G$14*(1-$G$12/($G$12+$G$11*$G$20-$G$42/G44*$G$34/1000))))/SUM(G33,G35)*1000</f>
        <v>152.95011664883802</v>
      </c>
    </row>
    <row r="42" spans="2:7" x14ac:dyDescent="0.3">
      <c r="B42" s="50" t="s">
        <v>41</v>
      </c>
      <c r="C42" s="25" t="s">
        <v>8</v>
      </c>
      <c r="D42" s="79"/>
      <c r="E42" s="87">
        <f>(9993.46210840458/E34*1000-E38)*0.66</f>
        <v>31.716427322226693</v>
      </c>
      <c r="F42" s="42"/>
      <c r="G42" s="87">
        <f>(9993.46210840458*G10/E10/G34*1000-G38)*G44</f>
        <v>31.718255001432347</v>
      </c>
    </row>
    <row r="43" spans="2:7" ht="15" x14ac:dyDescent="0.3">
      <c r="B43" s="50" t="s">
        <v>43</v>
      </c>
      <c r="C43" s="25" t="s">
        <v>8</v>
      </c>
      <c r="D43" s="79"/>
      <c r="E43" s="87">
        <f>E41</f>
        <v>152.95011664883802</v>
      </c>
      <c r="F43" s="42"/>
      <c r="G43" s="87">
        <f>G41</f>
        <v>152.95011664883802</v>
      </c>
    </row>
    <row r="44" spans="2:7" x14ac:dyDescent="0.3">
      <c r="B44" s="8"/>
      <c r="C44" s="4"/>
      <c r="D44" s="12"/>
      <c r="E44" s="13"/>
      <c r="G44" s="91">
        <f>(G16*G23-(G38*G29+G39*G31+G40*G32)/1000-E33*E41/1000)/(G16-(G38*G29+G39*G31+G40*G32)/1000-E33*E41/1000)</f>
        <v>0.6600380329178781</v>
      </c>
    </row>
    <row r="45" spans="2:7" x14ac:dyDescent="0.3">
      <c r="B45" s="107" t="s">
        <v>35</v>
      </c>
      <c r="C45" s="107"/>
      <c r="D45" s="107"/>
      <c r="E45" s="107"/>
      <c r="F45" s="107"/>
      <c r="G45" s="107"/>
    </row>
    <row r="46" spans="2:7" x14ac:dyDescent="0.3">
      <c r="B46" s="107" t="s">
        <v>34</v>
      </c>
      <c r="C46" s="107"/>
      <c r="D46" s="107"/>
      <c r="E46" s="107"/>
      <c r="F46" s="107"/>
      <c r="G46" s="107"/>
    </row>
    <row r="47" spans="2:7" ht="51.6" customHeight="1" x14ac:dyDescent="0.3">
      <c r="B47" s="109" t="s">
        <v>44</v>
      </c>
      <c r="C47" s="109"/>
      <c r="D47" s="109"/>
      <c r="E47" s="109"/>
      <c r="F47" s="109"/>
      <c r="G47" s="109"/>
    </row>
    <row r="48" spans="2:7" ht="24.6" customHeight="1" x14ac:dyDescent="0.3">
      <c r="B48" s="102"/>
      <c r="C48" s="102"/>
      <c r="D48" s="102"/>
      <c r="E48" s="102"/>
      <c r="F48" s="102"/>
      <c r="G48" s="102"/>
    </row>
    <row r="49" spans="2:7" ht="15.6" customHeight="1" x14ac:dyDescent="0.3">
      <c r="B49" s="102"/>
      <c r="C49" s="102"/>
      <c r="D49" s="102"/>
      <c r="E49" s="102"/>
      <c r="F49" s="102"/>
      <c r="G49" s="102"/>
    </row>
    <row r="50" spans="2:7" ht="12.6" customHeight="1" x14ac:dyDescent="0.3">
      <c r="B50" s="102"/>
      <c r="C50" s="102"/>
      <c r="D50" s="102"/>
      <c r="E50" s="102"/>
      <c r="F50" s="102"/>
      <c r="G50" s="102"/>
    </row>
    <row r="51" spans="2:7" ht="34.200000000000003" customHeight="1" x14ac:dyDescent="0.3">
      <c r="B51" s="102"/>
      <c r="C51" s="102"/>
      <c r="D51" s="102"/>
      <c r="E51" s="102"/>
      <c r="F51" s="102"/>
      <c r="G51" s="102"/>
    </row>
    <row r="52" spans="2:7" ht="33" customHeight="1" x14ac:dyDescent="0.3">
      <c r="B52" s="102"/>
      <c r="C52" s="102"/>
      <c r="D52" s="102"/>
      <c r="E52" s="102"/>
      <c r="F52" s="102"/>
      <c r="G52" s="102"/>
    </row>
  </sheetData>
  <sheetProtection algorithmName="SHA-512" hashValue="G9M8y1VgzywiuUWD8sNq4Ug4iAdYTXStSpjm/eZYlDGTGJBLXiBdf9kzQ1ErivhU2Gjw8aBV57UcxGHZBTAhHw==" saltValue="j230VU02qaVN0dBFtWlzag==" spinCount="100000" sheet="1" objects="1" scenarios="1" selectLockedCells="1"/>
  <protectedRanges>
    <protectedRange sqref="G10 G14 G19 G23 G26 G30:G35" name="Range1" securityDescriptor="O:WDG:WDD:(A;;CC;;;S-1-5-21-1823811621-336188519-2245429935-571)"/>
  </protectedRanges>
  <mergeCells count="14">
    <mergeCell ref="B52:G52"/>
    <mergeCell ref="B1:G1"/>
    <mergeCell ref="B2:G2"/>
    <mergeCell ref="B3:G3"/>
    <mergeCell ref="B5:G5"/>
    <mergeCell ref="B51:G51"/>
    <mergeCell ref="B45:G45"/>
    <mergeCell ref="B48:G48"/>
    <mergeCell ref="B49:G49"/>
    <mergeCell ref="B50:G50"/>
    <mergeCell ref="B37:C37"/>
    <mergeCell ref="B46:G46"/>
    <mergeCell ref="B47:G47"/>
    <mergeCell ref="B8:C8"/>
  </mergeCells>
  <dataValidations count="15">
    <dataValidation type="list" allowBlank="1" showInputMessage="1" showErrorMessage="1" sqref="D26">
      <formula1>#REF!</formula1>
    </dataValidation>
    <dataValidation type="whole" showInputMessage="1" showErrorMessage="1" errorTitle="Invalid data" error="Values between 30000 and 100000 must be entered." sqref="G10">
      <formula1>30000</formula1>
      <formula2>100000</formula2>
    </dataValidation>
    <dataValidation type="decimal" allowBlank="1" showInputMessage="1" showErrorMessage="1" errorTitle="Invalid data" error="Values between 0 and 10000 must be entered." prompt="Values between 0 and 10000" sqref="G14">
      <formula1>0</formula1>
      <formula2>10000</formula2>
    </dataValidation>
    <dataValidation type="decimal" showErrorMessage="1" errorTitle="Invalid data" error="Values between 0% and 100% must be entered." sqref="G19">
      <formula1>0</formula1>
      <formula2>1</formula2>
    </dataValidation>
    <dataValidation type="decimal" allowBlank="1" showErrorMessage="1" errorTitle="Invalid data" error="Values between 0% and 100% must be entered." sqref="G26">
      <formula1>0</formula1>
      <formula2>1</formula2>
    </dataValidation>
    <dataValidation type="decimal" allowBlank="1" showErrorMessage="1" errorTitle="Invalid data" error="Value between 1 and 200000 must be entered." sqref="G35">
      <formula1>1</formula1>
      <formula2>200000</formula2>
    </dataValidation>
    <dataValidation type="decimal" allowBlank="1" showInputMessage="1" showErrorMessage="1" errorTitle="Invalid data" error="From 1 % to 100 % must be entered." sqref="E23">
      <formula1>0.01</formula1>
      <formula2>1</formula2>
    </dataValidation>
    <dataValidation type="decimal" allowBlank="1" showErrorMessage="1" errorTitle="Invalid data" error="Not less than capacity at Sakiai GMS and not greater than sum of all capacity at Exit points." sqref="G29">
      <formula1>G34</formula1>
      <formula2>G33+G34+G35</formula2>
    </dataValidation>
    <dataValidation type="whole" showErrorMessage="1" errorTitle="Invalid dta" error="Values between 1 and 114200 (i.e. not greater than technical capacity) must be entered." sqref="G34">
      <formula1>1</formula1>
      <formula2>114200</formula2>
    </dataValidation>
    <dataValidation type="decimal" allowBlank="1" showInputMessage="1" showErrorMessage="1" errorTitle="Invalid data" error="Values between 0 and 65086.69 (i.e. not greater than technical capacity) must be entered." sqref="G31">
      <formula1>0</formula1>
      <formula2>65086.69</formula2>
    </dataValidation>
    <dataValidation type="decimal" allowBlank="1" showInputMessage="1" showErrorMessage="1" errorTitle="Invalid data" error="Values between 0 and 67590.03 (i.e. not greater than technical capacity) must be entered." sqref="G33">
      <formula1>0</formula1>
      <formula2>67590.03</formula2>
    </dataValidation>
    <dataValidation type="decimal" allowBlank="1" showInputMessage="1" showErrorMessage="1" errorTitle="Invalid data" error="Values between 0 and 122350 (i.e. not greater than technical capacity) must be entered." sqref="G32">
      <formula1>0</formula1>
      <formula2>122350</formula2>
    </dataValidation>
    <dataValidation type="decimal" allowBlank="1" showErrorMessage="1" errorTitle="Invalid data" error="Values between 0 and the difference between 325433,47 (i.e. technical capacity at Kotlovka GMS) and capacity booking at Sakiai GMS must be entered." sqref="G30">
      <formula1>0</formula1>
      <formula2>325433.47-G34</formula2>
    </dataValidation>
    <dataValidation type="decimal" allowBlank="1" showInputMessage="1" showErrorMessage="1" errorTitle="Invalid data" error="From 70 % to 100 % must be entered, as according to NRA's Methodology, capacity share can't be less than 70 %." sqref="G23">
      <formula1>0.7</formula1>
      <formula2>1</formula2>
    </dataValidation>
    <dataValidation type="list" allowBlank="1" showInputMessage="1" showErrorMessage="1" sqref="D23 D19">
      <formula1>#REF!</formula1>
    </dataValidation>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2"/>
  <sheetViews>
    <sheetView showGridLines="0" zoomScale="90" zoomScaleNormal="90" workbookViewId="0">
      <selection activeCell="F38" sqref="F38"/>
    </sheetView>
  </sheetViews>
  <sheetFormatPr defaultRowHeight="14.4" x14ac:dyDescent="0.3"/>
  <cols>
    <col min="1" max="1" width="2.109375" customWidth="1"/>
    <col min="2" max="2" width="77.33203125" customWidth="1"/>
    <col min="3" max="3" width="18.109375" customWidth="1"/>
    <col min="4" max="4" width="3.21875" customWidth="1"/>
    <col min="5" max="5" width="19" customWidth="1"/>
    <col min="6" max="6" width="15.88671875" customWidth="1"/>
    <col min="7" max="7" width="18.44140625" customWidth="1"/>
    <col min="8" max="8" width="16.109375" customWidth="1"/>
    <col min="9" max="9" width="16.6640625" customWidth="1"/>
  </cols>
  <sheetData>
    <row r="1" spans="2:11" ht="25.2" customHeight="1" x14ac:dyDescent="0.3">
      <c r="B1" s="112" t="s">
        <v>45</v>
      </c>
      <c r="C1" s="112"/>
      <c r="D1" s="112"/>
      <c r="E1" s="112"/>
      <c r="F1" s="112"/>
      <c r="G1" s="112"/>
      <c r="H1" s="112"/>
      <c r="I1" s="112"/>
    </row>
    <row r="2" spans="2:11" ht="15.6" x14ac:dyDescent="0.3">
      <c r="B2" s="104" t="s">
        <v>29</v>
      </c>
      <c r="C2" s="104"/>
      <c r="D2" s="104"/>
      <c r="E2" s="104"/>
      <c r="F2" s="104"/>
      <c r="G2" s="104"/>
      <c r="H2" s="104"/>
      <c r="I2" s="104"/>
    </row>
    <row r="3" spans="2:11" ht="15.6" x14ac:dyDescent="0.3">
      <c r="B3" s="105" t="s">
        <v>50</v>
      </c>
      <c r="C3" s="105"/>
      <c r="D3" s="105"/>
      <c r="E3" s="105"/>
      <c r="F3" s="105"/>
      <c r="G3" s="105"/>
      <c r="H3" s="92"/>
      <c r="I3" s="92"/>
    </row>
    <row r="4" spans="2:11" x14ac:dyDescent="0.3">
      <c r="B4" s="32" t="s">
        <v>4</v>
      </c>
      <c r="C4" s="5"/>
      <c r="D4" s="5"/>
      <c r="E4" s="5"/>
      <c r="F4" s="38"/>
      <c r="G4" s="38"/>
      <c r="H4" s="38"/>
      <c r="I4" s="38"/>
    </row>
    <row r="5" spans="2:11" x14ac:dyDescent="0.3">
      <c r="C5" s="32"/>
      <c r="D5" s="32"/>
      <c r="E5" s="32"/>
      <c r="F5" s="6"/>
      <c r="G5" s="14"/>
      <c r="H5" s="14"/>
      <c r="I5" s="14"/>
    </row>
    <row r="6" spans="2:11" x14ac:dyDescent="0.3">
      <c r="C6" s="32"/>
      <c r="D6" s="32"/>
      <c r="E6" s="32"/>
      <c r="F6" s="113" t="s">
        <v>14</v>
      </c>
      <c r="G6" s="114"/>
      <c r="H6" s="114"/>
      <c r="I6" s="115"/>
    </row>
    <row r="7" spans="2:11" ht="195" customHeight="1" x14ac:dyDescent="0.3">
      <c r="B7" s="110" t="s">
        <v>54</v>
      </c>
      <c r="C7" s="111"/>
      <c r="D7" s="2"/>
      <c r="E7" s="7" t="s">
        <v>0</v>
      </c>
      <c r="F7" s="7" t="s">
        <v>17</v>
      </c>
      <c r="G7" s="7" t="s">
        <v>18</v>
      </c>
      <c r="H7" s="7" t="s">
        <v>19</v>
      </c>
      <c r="I7" s="7" t="s">
        <v>20</v>
      </c>
    </row>
    <row r="8" spans="2:11" ht="16.2" customHeight="1" x14ac:dyDescent="0.3">
      <c r="B8" s="48" t="s">
        <v>15</v>
      </c>
      <c r="C8" s="21" t="s">
        <v>23</v>
      </c>
      <c r="D8" s="59"/>
      <c r="E8" s="39">
        <v>42671</v>
      </c>
      <c r="F8" s="90">
        <v>43837</v>
      </c>
      <c r="G8" s="90">
        <v>46399</v>
      </c>
      <c r="H8" s="90">
        <v>53067</v>
      </c>
      <c r="I8" s="90">
        <v>53368</v>
      </c>
    </row>
    <row r="9" spans="2:11" ht="27.6" x14ac:dyDescent="0.3">
      <c r="B9" s="36" t="s">
        <v>28</v>
      </c>
      <c r="C9" s="22" t="s">
        <v>23</v>
      </c>
      <c r="D9" s="61"/>
      <c r="E9" s="9">
        <v>26488</v>
      </c>
      <c r="F9" s="9">
        <f>0.623955912604975*F8</f>
        <v>27352.355340864287</v>
      </c>
      <c r="G9" s="9">
        <f>0.632622125890036*G8</f>
        <v>29353.034019171781</v>
      </c>
      <c r="H9" s="9">
        <f>0.676742675167614*H8</f>
        <v>35912.703543119773</v>
      </c>
      <c r="I9" s="9">
        <f>0.675622262925946*I8</f>
        <v>36056.608927831883</v>
      </c>
    </row>
    <row r="10" spans="2:11" ht="15" hidden="1" x14ac:dyDescent="0.3">
      <c r="B10" s="11" t="s">
        <v>9</v>
      </c>
      <c r="C10" s="28" t="s">
        <v>23</v>
      </c>
      <c r="D10" s="61"/>
      <c r="E10" s="20">
        <v>9993.4621084045793</v>
      </c>
      <c r="F10" s="20">
        <f>0.23322873290373*F8</f>
        <v>10224.047964300813</v>
      </c>
      <c r="G10" s="20">
        <f>0.230609105722347*G8</f>
        <v>10700.031896411178</v>
      </c>
      <c r="H10" s="20">
        <f>0.217272324553536*H8</f>
        <v>11529.990447082495</v>
      </c>
      <c r="I10" s="20">
        <f>0.217611003312769*I8</f>
        <v>11613.464024795856</v>
      </c>
    </row>
    <row r="11" spans="2:11" ht="15" x14ac:dyDescent="0.3">
      <c r="B11" s="54" t="s">
        <v>32</v>
      </c>
      <c r="C11" s="22" t="s">
        <v>23</v>
      </c>
      <c r="D11" s="61"/>
      <c r="E11" s="9">
        <f>E8-E9</f>
        <v>16183</v>
      </c>
      <c r="F11" s="9">
        <f>F8-F9</f>
        <v>16484.644659135713</v>
      </c>
      <c r="G11" s="9">
        <f>G8-G9</f>
        <v>17045.965980828219</v>
      </c>
      <c r="H11" s="9">
        <f>H8-H9</f>
        <v>17154.296456880227</v>
      </c>
      <c r="I11" s="9">
        <f>I8-I9</f>
        <v>17311.391072168117</v>
      </c>
    </row>
    <row r="12" spans="2:11" x14ac:dyDescent="0.3">
      <c r="B12" s="62"/>
      <c r="C12" s="34"/>
      <c r="D12" s="63"/>
      <c r="E12" s="64"/>
      <c r="F12" s="42"/>
      <c r="G12" s="42"/>
      <c r="H12" s="42"/>
      <c r="I12" s="42"/>
    </row>
    <row r="13" spans="2:11" ht="15" x14ac:dyDescent="0.3">
      <c r="B13" s="48" t="s">
        <v>33</v>
      </c>
      <c r="C13" s="21" t="s">
        <v>23</v>
      </c>
      <c r="D13" s="59"/>
      <c r="E13" s="9">
        <v>6380</v>
      </c>
      <c r="F13" s="17">
        <v>6554</v>
      </c>
      <c r="G13" s="17">
        <v>6937</v>
      </c>
      <c r="H13" s="17">
        <v>7934</v>
      </c>
      <c r="I13" s="17">
        <v>7979</v>
      </c>
    </row>
    <row r="14" spans="2:11" ht="14.4" hidden="1" customHeight="1" x14ac:dyDescent="0.3">
      <c r="B14" s="11" t="s">
        <v>21</v>
      </c>
      <c r="C14" s="22" t="s">
        <v>23</v>
      </c>
      <c r="D14" s="59"/>
      <c r="E14" s="9">
        <f>E13-E15</f>
        <v>3166.1461197448361</v>
      </c>
      <c r="F14" s="9">
        <f>F13-F15</f>
        <v>3244.1749458072145</v>
      </c>
      <c r="G14" s="9">
        <f t="shared" ref="G14:I14" si="0">G13-G15</f>
        <v>3527.0997811025422</v>
      </c>
      <c r="H14" s="9">
        <f>H13-H15</f>
        <v>4560.8550208115721</v>
      </c>
      <c r="I14" s="9">
        <f t="shared" si="0"/>
        <v>4573.3790972107881</v>
      </c>
      <c r="J14" s="57"/>
      <c r="K14" s="57"/>
    </row>
    <row r="15" spans="2:11" ht="14.4" hidden="1" customHeight="1" x14ac:dyDescent="0.3">
      <c r="B15" s="11" t="s">
        <v>22</v>
      </c>
      <c r="C15" s="22" t="s">
        <v>23</v>
      </c>
      <c r="D15" s="59"/>
      <c r="E15" s="9">
        <f>E13*E11/(E11+E9*E21-E46/0.66*E36/1000)</f>
        <v>3213.8538802551639</v>
      </c>
      <c r="F15" s="9">
        <f>F13*F11/(F11+F9*F21-F46/0.66*F36/1000)</f>
        <v>3309.8250541927855</v>
      </c>
      <c r="G15" s="9">
        <f>G13*G11/(G11+G9*G21-G46/0.66*G36/1000)</f>
        <v>3409.9002188974578</v>
      </c>
      <c r="H15" s="9">
        <f>H13*H11/(H11+H9*H21-H46/0.66*H36/1000)</f>
        <v>3373.1449791884284</v>
      </c>
      <c r="I15" s="9">
        <f>I13*I11/(I11+I9*I21-I46/0.66*I36/1000)</f>
        <v>3405.6209027892119</v>
      </c>
      <c r="J15" s="58"/>
      <c r="K15" s="58"/>
    </row>
    <row r="16" spans="2:11" x14ac:dyDescent="0.3">
      <c r="B16" s="31"/>
      <c r="C16" s="30"/>
      <c r="D16" s="60"/>
      <c r="E16" s="15"/>
      <c r="F16" s="42"/>
      <c r="G16" s="42"/>
      <c r="H16" s="42"/>
      <c r="I16" s="65"/>
    </row>
    <row r="17" spans="2:9" ht="27.6" x14ac:dyDescent="0.3">
      <c r="B17" s="48" t="s">
        <v>27</v>
      </c>
      <c r="C17" s="21" t="s">
        <v>23</v>
      </c>
      <c r="D17" s="59"/>
      <c r="E17" s="9">
        <f>E8-E13</f>
        <v>36291</v>
      </c>
      <c r="F17" s="9">
        <f>F8-F13</f>
        <v>37283</v>
      </c>
      <c r="G17" s="9">
        <f>G8-G13</f>
        <v>39462</v>
      </c>
      <c r="H17" s="9">
        <f>H8-H13</f>
        <v>45133</v>
      </c>
      <c r="I17" s="9">
        <f>I8-I13</f>
        <v>45389</v>
      </c>
    </row>
    <row r="18" spans="2:9" x14ac:dyDescent="0.3">
      <c r="B18" s="66"/>
      <c r="C18" s="23"/>
      <c r="D18" s="59"/>
      <c r="E18" s="59"/>
      <c r="F18" s="42"/>
      <c r="G18" s="42"/>
      <c r="H18" s="42"/>
      <c r="I18" s="42"/>
    </row>
    <row r="19" spans="2:9" ht="16.2" customHeight="1" x14ac:dyDescent="0.3">
      <c r="B19" s="49" t="s">
        <v>11</v>
      </c>
      <c r="C19" s="24"/>
      <c r="D19" s="67"/>
      <c r="E19" s="43"/>
      <c r="F19" s="43"/>
      <c r="G19" s="43"/>
      <c r="H19" s="43"/>
      <c r="I19" s="43"/>
    </row>
    <row r="20" spans="2:9" x14ac:dyDescent="0.3">
      <c r="B20" s="68" t="s">
        <v>12</v>
      </c>
      <c r="C20" s="25" t="s">
        <v>1</v>
      </c>
      <c r="D20" s="69"/>
      <c r="E20" s="70">
        <v>0.2</v>
      </c>
      <c r="F20" s="82">
        <v>0.2</v>
      </c>
      <c r="G20" s="82">
        <v>0.2</v>
      </c>
      <c r="H20" s="82">
        <v>0.2</v>
      </c>
      <c r="I20" s="82">
        <v>0.2</v>
      </c>
    </row>
    <row r="21" spans="2:9" x14ac:dyDescent="0.3">
      <c r="B21" s="68" t="s">
        <v>13</v>
      </c>
      <c r="C21" s="25" t="s">
        <v>1</v>
      </c>
      <c r="D21" s="69"/>
      <c r="E21" s="70">
        <f>1-E20</f>
        <v>0.8</v>
      </c>
      <c r="F21" s="70">
        <f t="shared" ref="F21:I21" si="1">1-F20</f>
        <v>0.8</v>
      </c>
      <c r="G21" s="70">
        <f t="shared" si="1"/>
        <v>0.8</v>
      </c>
      <c r="H21" s="70">
        <f t="shared" si="1"/>
        <v>0.8</v>
      </c>
      <c r="I21" s="70">
        <f t="shared" si="1"/>
        <v>0.8</v>
      </c>
    </row>
    <row r="22" spans="2:9" x14ac:dyDescent="0.3">
      <c r="B22" s="71"/>
      <c r="C22" s="29"/>
      <c r="D22" s="72"/>
      <c r="E22" s="56"/>
      <c r="F22" s="42"/>
      <c r="G22" s="42"/>
      <c r="H22" s="42"/>
      <c r="I22" s="42"/>
    </row>
    <row r="23" spans="2:9" ht="16.8" customHeight="1" x14ac:dyDescent="0.3">
      <c r="B23" s="49" t="s">
        <v>46</v>
      </c>
      <c r="C23" s="24"/>
      <c r="D23" s="73"/>
      <c r="E23" s="74"/>
      <c r="F23" s="74"/>
      <c r="G23" s="74"/>
      <c r="H23" s="74"/>
      <c r="I23" s="74"/>
    </row>
    <row r="24" spans="2:9" x14ac:dyDescent="0.3">
      <c r="B24" s="68" t="s">
        <v>2</v>
      </c>
      <c r="C24" s="25" t="s">
        <v>1</v>
      </c>
      <c r="D24" s="69"/>
      <c r="E24" s="70">
        <v>0.7097</v>
      </c>
      <c r="F24" s="82">
        <v>0.7097</v>
      </c>
      <c r="G24" s="82">
        <v>0.7097</v>
      </c>
      <c r="H24" s="82">
        <v>0.7097</v>
      </c>
      <c r="I24" s="82">
        <v>0.7097</v>
      </c>
    </row>
    <row r="25" spans="2:9" x14ac:dyDescent="0.3">
      <c r="B25" s="68" t="s">
        <v>3</v>
      </c>
      <c r="C25" s="25" t="s">
        <v>1</v>
      </c>
      <c r="D25" s="69"/>
      <c r="E25" s="70">
        <f>1-E24</f>
        <v>0.2903</v>
      </c>
      <c r="F25" s="70">
        <f t="shared" ref="F25:I25" si="2">1-F24</f>
        <v>0.2903</v>
      </c>
      <c r="G25" s="70">
        <f t="shared" si="2"/>
        <v>0.2903</v>
      </c>
      <c r="H25" s="70">
        <f t="shared" si="2"/>
        <v>0.2903</v>
      </c>
      <c r="I25" s="70">
        <f t="shared" si="2"/>
        <v>0.2903</v>
      </c>
    </row>
    <row r="26" spans="2:9" x14ac:dyDescent="0.3">
      <c r="B26" s="75"/>
      <c r="C26" s="26"/>
      <c r="D26" s="69"/>
      <c r="E26" s="69"/>
      <c r="F26" s="42"/>
      <c r="G26" s="42"/>
      <c r="H26" s="42"/>
      <c r="I26" s="42"/>
    </row>
    <row r="27" spans="2:9" x14ac:dyDescent="0.3">
      <c r="B27" s="49" t="s">
        <v>7</v>
      </c>
      <c r="C27" s="24" t="s">
        <v>1</v>
      </c>
      <c r="D27" s="69"/>
      <c r="E27" s="88">
        <v>0.75</v>
      </c>
      <c r="F27" s="82">
        <v>0.75</v>
      </c>
      <c r="G27" s="82">
        <v>0.75</v>
      </c>
      <c r="H27" s="82">
        <v>0.75</v>
      </c>
      <c r="I27" s="82">
        <v>0.75</v>
      </c>
    </row>
    <row r="28" spans="2:9" x14ac:dyDescent="0.3">
      <c r="B28" s="76"/>
      <c r="C28" s="27"/>
      <c r="D28" s="75"/>
      <c r="E28" s="76"/>
      <c r="F28" s="42"/>
      <c r="G28" s="42"/>
      <c r="H28" s="42"/>
      <c r="I28" s="42"/>
    </row>
    <row r="29" spans="2:9" x14ac:dyDescent="0.3">
      <c r="B29" s="53" t="s">
        <v>10</v>
      </c>
      <c r="C29" s="24"/>
      <c r="D29" s="67"/>
      <c r="E29" s="43"/>
      <c r="F29" s="43"/>
      <c r="G29" s="43"/>
      <c r="H29" s="43"/>
      <c r="I29" s="43"/>
    </row>
    <row r="30" spans="2:9" x14ac:dyDescent="0.3">
      <c r="B30" s="50" t="s">
        <v>37</v>
      </c>
      <c r="C30" s="25" t="s">
        <v>6</v>
      </c>
      <c r="D30" s="44"/>
      <c r="E30" s="47">
        <f>E31+E36</f>
        <v>117200</v>
      </c>
      <c r="F30" s="47">
        <f>F31+F36</f>
        <v>117200</v>
      </c>
      <c r="G30" s="47">
        <f>G31+G36</f>
        <v>117200</v>
      </c>
      <c r="H30" s="47">
        <f>H31+H36</f>
        <v>116432.875</v>
      </c>
      <c r="I30" s="47">
        <f>I31+I36</f>
        <v>116432.875</v>
      </c>
    </row>
    <row r="31" spans="2:9" x14ac:dyDescent="0.3">
      <c r="B31" s="55" t="s">
        <v>26</v>
      </c>
      <c r="C31" s="25"/>
      <c r="D31" s="44"/>
      <c r="E31" s="89">
        <v>8000</v>
      </c>
      <c r="F31" s="86">
        <v>8000</v>
      </c>
      <c r="G31" s="86">
        <v>8000</v>
      </c>
      <c r="H31" s="86">
        <v>7232.875</v>
      </c>
      <c r="I31" s="86">
        <v>7232.875</v>
      </c>
    </row>
    <row r="32" spans="2:9" x14ac:dyDescent="0.3">
      <c r="B32" s="50" t="s">
        <v>38</v>
      </c>
      <c r="C32" s="25" t="s">
        <v>6</v>
      </c>
      <c r="D32" s="44"/>
      <c r="E32" s="47">
        <v>0</v>
      </c>
      <c r="F32" s="17">
        <v>0</v>
      </c>
      <c r="G32" s="17">
        <v>0</v>
      </c>
      <c r="H32" s="17">
        <v>0</v>
      </c>
      <c r="I32" s="17">
        <v>0</v>
      </c>
    </row>
    <row r="33" spans="2:9" x14ac:dyDescent="0.3">
      <c r="B33" s="50" t="s">
        <v>39</v>
      </c>
      <c r="C33" s="25" t="s">
        <v>6</v>
      </c>
      <c r="D33" s="44"/>
      <c r="E33" s="47">
        <v>21350</v>
      </c>
      <c r="F33" s="17">
        <v>21350</v>
      </c>
      <c r="G33" s="17">
        <v>21350</v>
      </c>
      <c r="H33" s="17">
        <v>22555.5</v>
      </c>
      <c r="I33" s="17">
        <v>22555.5</v>
      </c>
    </row>
    <row r="34" spans="2:9" x14ac:dyDescent="0.3">
      <c r="B34" s="54" t="s">
        <v>48</v>
      </c>
      <c r="C34" s="25" t="s">
        <v>6</v>
      </c>
      <c r="D34" s="44"/>
      <c r="E34" s="40" t="s">
        <v>24</v>
      </c>
      <c r="F34" s="40" t="s">
        <v>24</v>
      </c>
      <c r="G34" s="40" t="s">
        <v>24</v>
      </c>
      <c r="H34" s="94">
        <v>1534.25</v>
      </c>
      <c r="I34" s="94">
        <v>1534.25</v>
      </c>
    </row>
    <row r="35" spans="2:9" x14ac:dyDescent="0.3">
      <c r="B35" s="50" t="s">
        <v>40</v>
      </c>
      <c r="C35" s="25" t="s">
        <v>6</v>
      </c>
      <c r="D35" s="44"/>
      <c r="E35" s="47">
        <v>25</v>
      </c>
      <c r="F35" s="90">
        <v>25</v>
      </c>
      <c r="G35" s="90">
        <v>25</v>
      </c>
      <c r="H35" s="90">
        <v>792.125</v>
      </c>
      <c r="I35" s="90">
        <v>792.125</v>
      </c>
    </row>
    <row r="36" spans="2:9" x14ac:dyDescent="0.3">
      <c r="B36" s="50" t="s">
        <v>41</v>
      </c>
      <c r="C36" s="25" t="s">
        <v>6</v>
      </c>
      <c r="D36" s="44"/>
      <c r="E36" s="47">
        <v>109200</v>
      </c>
      <c r="F36" s="17">
        <v>109200</v>
      </c>
      <c r="G36" s="17">
        <v>109200</v>
      </c>
      <c r="H36" s="17">
        <v>109200</v>
      </c>
      <c r="I36" s="17">
        <v>109200</v>
      </c>
    </row>
    <row r="37" spans="2:9" x14ac:dyDescent="0.3">
      <c r="B37" s="54" t="s">
        <v>49</v>
      </c>
      <c r="C37" s="25" t="s">
        <v>6</v>
      </c>
      <c r="D37" s="44"/>
      <c r="E37" s="40" t="s">
        <v>24</v>
      </c>
      <c r="F37" s="40" t="s">
        <v>24</v>
      </c>
      <c r="G37" s="40" t="s">
        <v>24</v>
      </c>
      <c r="H37" s="94">
        <v>1205.48</v>
      </c>
      <c r="I37" s="94">
        <v>1205.48</v>
      </c>
    </row>
    <row r="38" spans="2:9" x14ac:dyDescent="0.3">
      <c r="B38" s="50" t="s">
        <v>42</v>
      </c>
      <c r="C38" s="25" t="s">
        <v>6</v>
      </c>
      <c r="D38" s="44"/>
      <c r="E38" s="47">
        <v>83509.600000000006</v>
      </c>
      <c r="F38" s="17">
        <v>81113.038</v>
      </c>
      <c r="G38" s="17">
        <v>78911.937999999995</v>
      </c>
      <c r="H38" s="17">
        <v>85841.838000000003</v>
      </c>
      <c r="I38" s="17">
        <v>85841.838000000003</v>
      </c>
    </row>
    <row r="39" spans="2:9" x14ac:dyDescent="0.3">
      <c r="B39" s="52"/>
      <c r="C39" s="30"/>
      <c r="D39" s="77"/>
      <c r="E39" s="45"/>
      <c r="F39" s="42"/>
      <c r="G39" s="42"/>
      <c r="H39" s="42"/>
      <c r="I39" s="42"/>
    </row>
    <row r="40" spans="2:9" ht="13.8" customHeight="1" x14ac:dyDescent="0.3">
      <c r="B40" s="53" t="s">
        <v>25</v>
      </c>
      <c r="C40" s="24"/>
      <c r="D40" s="67"/>
      <c r="E40" s="43"/>
      <c r="F40" s="43"/>
      <c r="G40" s="43"/>
      <c r="H40" s="43"/>
      <c r="I40" s="78"/>
    </row>
    <row r="41" spans="2:9" x14ac:dyDescent="0.3">
      <c r="B41" s="50" t="s">
        <v>37</v>
      </c>
      <c r="C41" s="25" t="s">
        <v>8</v>
      </c>
      <c r="D41" s="79"/>
      <c r="E41" s="40">
        <f>(E9*E20-E43*E33/1000)/(E30+E32)*1000</f>
        <v>43.460027860471023</v>
      </c>
      <c r="F41" s="40">
        <f>(F9*F20-F43*F33/1000)/(F30+F32)*1000</f>
        <v>44.878213725591408</v>
      </c>
      <c r="G41" s="40">
        <f>(G9*G20-G43*G33/1000)/(G30+G32)*1000</f>
        <v>48.160815322506764</v>
      </c>
      <c r="H41" s="40">
        <f>(H9*H20-H43*H33/1000)/SUM(H30,H32,H34)*1000</f>
        <v>58.442727825014607</v>
      </c>
      <c r="I41" s="40">
        <f>(I9*I20-I43*I33/1000)/SUM(I30,I32,I34)*1000</f>
        <v>58.676913013027139</v>
      </c>
    </row>
    <row r="42" spans="2:9" x14ac:dyDescent="0.3">
      <c r="B42" s="50" t="s">
        <v>38</v>
      </c>
      <c r="C42" s="25" t="s">
        <v>8</v>
      </c>
      <c r="D42" s="79"/>
      <c r="E42" s="40">
        <f>(E9*E20-E43*E33/1000)/(E30+E32)*1000</f>
        <v>43.460027860471023</v>
      </c>
      <c r="F42" s="40">
        <f>(F9*F20-F43*F33/1000)/(F30+F32)*1000</f>
        <v>44.878213725591408</v>
      </c>
      <c r="G42" s="40">
        <f>(G9*G20-G43*G33/1000)/(G30+G32)*1000</f>
        <v>48.160815322506764</v>
      </c>
      <c r="H42" s="40">
        <f>(H9*H20-H43*H33/1000)/SUM(H30,H32,H34)*1000</f>
        <v>58.442727825014607</v>
      </c>
      <c r="I42" s="40">
        <f>(I9*I20-I43*I33/1000)/SUM(I30,I32,I34)*1000</f>
        <v>58.676913013027139</v>
      </c>
    </row>
    <row r="43" spans="2:9" x14ac:dyDescent="0.3">
      <c r="B43" s="50" t="s">
        <v>39</v>
      </c>
      <c r="C43" s="25" t="s">
        <v>8</v>
      </c>
      <c r="D43" s="79"/>
      <c r="E43" s="40">
        <f>E9*E20/SUM(E30,E32:E33)*1000*(1-E27)</f>
        <v>9.5590039696860352</v>
      </c>
      <c r="F43" s="40">
        <f>F9*F20/SUM(F30,F32:F33)*1000*(1-F27)</f>
        <v>9.8709329992292627</v>
      </c>
      <c r="G43" s="40">
        <f>G9*G20/SUM(G30,G32:G33)*1000*(1-G27)</f>
        <v>10.592939018106021</v>
      </c>
      <c r="H43" s="40">
        <f>H9*H20/SUM(H30,H32:H33,H34)*1000*(1-H27)</f>
        <v>12.778263835848419</v>
      </c>
      <c r="I43" s="40">
        <f>I9*I20/SUM(I30,I32:I33,I34)*1000*(1-I27)</f>
        <v>12.829467471103634</v>
      </c>
    </row>
    <row r="44" spans="2:9" x14ac:dyDescent="0.3">
      <c r="B44" s="54" t="s">
        <v>48</v>
      </c>
      <c r="C44" s="25" t="s">
        <v>8</v>
      </c>
      <c r="D44" s="80"/>
      <c r="E44" s="40" t="s">
        <v>24</v>
      </c>
      <c r="F44" s="40" t="s">
        <v>24</v>
      </c>
      <c r="G44" s="40" t="s">
        <v>24</v>
      </c>
      <c r="H44" s="40">
        <f>(H9*H20-H43*H33/1000)/SUM(H30,H32,H34)*1000</f>
        <v>58.442727825014607</v>
      </c>
      <c r="I44" s="40">
        <f>(I9*I20-I43*I33/1000)/SUM(I30,I32,I34)*1000</f>
        <v>58.676913013027139</v>
      </c>
    </row>
    <row r="45" spans="2:9" x14ac:dyDescent="0.3">
      <c r="B45" s="50" t="s">
        <v>40</v>
      </c>
      <c r="C45" s="25" t="s">
        <v>8</v>
      </c>
      <c r="D45" s="80"/>
      <c r="E45" s="40">
        <f>(E9*E21-E46/0.66*E36/1000-E14)/SUM(E35,E37:E38)*1000</f>
        <v>152.95011664883799</v>
      </c>
      <c r="F45" s="40">
        <f>(F9*F21-F46/F24*F36/1000-F14)/SUM(F35,F37:F38)*1000*F24</f>
        <v>116.45836106261704</v>
      </c>
      <c r="G45" s="40">
        <f>(G9*G21-G46/G24*G36/1000-G14)/SUM(G35,G37:G38)*1000*G24</f>
        <v>130.49543204308375</v>
      </c>
      <c r="H45" s="40">
        <f>(H9*H21-H46/H24*H36/1000-H14)/SUM(H35,H37:H38)*1000*H24</f>
        <v>153.68256063557629</v>
      </c>
      <c r="I45" s="40">
        <f>(I9*I21-I46/I24*I36/1000-I14)/SUM(I35,I37:I38)*1000*I24</f>
        <v>154.04371229031389</v>
      </c>
    </row>
    <row r="46" spans="2:9" x14ac:dyDescent="0.3">
      <c r="B46" s="50" t="s">
        <v>41</v>
      </c>
      <c r="C46" s="25" t="s">
        <v>8</v>
      </c>
      <c r="D46" s="80"/>
      <c r="E46" s="40">
        <f>(E10/E36*1000-E41)*0.66</f>
        <v>31.716427322226693</v>
      </c>
      <c r="F46" s="40">
        <f>(F10/F36*1000-F41)*F24</f>
        <v>34.596880805617076</v>
      </c>
      <c r="G46" s="40">
        <f>(G10/G36*1000-G41)*G24</f>
        <v>35.360678128281904</v>
      </c>
      <c r="H46" s="40">
        <f>(H10/H36*1000-H41)*H24</f>
        <v>33.457575369312842</v>
      </c>
      <c r="I46" s="40">
        <f>(I10/I36*1000-I41)*I24</f>
        <v>33.833875955511957</v>
      </c>
    </row>
    <row r="47" spans="2:9" x14ac:dyDescent="0.3">
      <c r="B47" s="54" t="s">
        <v>49</v>
      </c>
      <c r="C47" s="25" t="s">
        <v>8</v>
      </c>
      <c r="D47" s="80"/>
      <c r="E47" s="40" t="s">
        <v>24</v>
      </c>
      <c r="F47" s="40" t="s">
        <v>24</v>
      </c>
      <c r="G47" s="40" t="s">
        <v>24</v>
      </c>
      <c r="H47" s="40">
        <f>H45</f>
        <v>153.68256063557629</v>
      </c>
      <c r="I47" s="40">
        <f>I45</f>
        <v>154.04371229031389</v>
      </c>
    </row>
    <row r="48" spans="2:9" x14ac:dyDescent="0.3">
      <c r="B48" s="50" t="s">
        <v>55</v>
      </c>
      <c r="C48" s="25" t="s">
        <v>8</v>
      </c>
      <c r="D48" s="79"/>
      <c r="E48" s="40">
        <f>E45</f>
        <v>152.95011664883799</v>
      </c>
      <c r="F48" s="40">
        <f t="shared" ref="F48:H48" si="3">F45</f>
        <v>116.45836106261704</v>
      </c>
      <c r="G48" s="40">
        <f t="shared" si="3"/>
        <v>130.49543204308375</v>
      </c>
      <c r="H48" s="40">
        <f t="shared" si="3"/>
        <v>153.68256063557629</v>
      </c>
      <c r="I48" s="40">
        <f>I45</f>
        <v>154.04371229031389</v>
      </c>
    </row>
    <row r="49" spans="2:9" x14ac:dyDescent="0.3">
      <c r="B49" s="8"/>
      <c r="C49" s="29"/>
      <c r="D49" s="12"/>
      <c r="E49" s="41"/>
      <c r="F49" s="56"/>
      <c r="G49" s="41"/>
      <c r="H49" s="41"/>
      <c r="I49" s="41"/>
    </row>
    <row r="50" spans="2:9" ht="14.4" customHeight="1" x14ac:dyDescent="0.3">
      <c r="B50" s="107" t="s">
        <v>51</v>
      </c>
      <c r="C50" s="107"/>
      <c r="D50" s="107"/>
      <c r="E50" s="107"/>
      <c r="F50" s="107"/>
      <c r="G50" s="107"/>
      <c r="H50" s="107"/>
      <c r="I50" s="107"/>
    </row>
    <row r="51" spans="2:9" ht="17.399999999999999" customHeight="1" x14ac:dyDescent="0.3">
      <c r="B51" s="107" t="s">
        <v>52</v>
      </c>
      <c r="C51" s="107"/>
      <c r="D51" s="107"/>
      <c r="E51" s="107"/>
      <c r="F51" s="107"/>
      <c r="G51" s="107"/>
      <c r="H51" s="107"/>
      <c r="I51" s="107"/>
    </row>
    <row r="52" spans="2:9" ht="40.200000000000003" customHeight="1" x14ac:dyDescent="0.3">
      <c r="B52" s="109" t="s">
        <v>53</v>
      </c>
      <c r="C52" s="109"/>
      <c r="D52" s="109"/>
      <c r="E52" s="109"/>
      <c r="F52" s="109"/>
      <c r="G52" s="109"/>
      <c r="H52" s="109"/>
      <c r="I52" s="109"/>
    </row>
  </sheetData>
  <sheetProtection algorithmName="SHA-512" hashValue="wNwOayx2Wj5r9CNCUQ7F9k2mjCXkjTpr1Rgt3TGPqoUblVOdnH9eieo0HfX6N8oNdZ2TGrw6p9x7Wu7IFSl+xA==" saltValue="MNirAmVYVKkz1OZkkMzrXQ==" spinCount="100000" sheet="1" objects="1" scenarios="1" selectLockedCells="1"/>
  <protectedRanges>
    <protectedRange sqref="F8:I8" name="Range12"/>
    <protectedRange sqref="F24:I24" name="Range10"/>
    <protectedRange sqref="F13:I13" name="Range1_9" securityDescriptor="O:WDG:WDD:(A;;CC;;;S-1-5-21-1823811621-336188519-2245429935-571)"/>
    <protectedRange sqref="F33:I33" name="Range1_7" securityDescriptor="O:WDG:WDD:(A;;CC;;;S-1-5-21-1823811621-336188519-2245429935-571)"/>
    <protectedRange sqref="F31:I31" name="Range1_8" securityDescriptor="O:WDG:WDD:(A;;CC;;;S-1-5-21-1823811621-336188519-2245429935-571)"/>
    <protectedRange sqref="F27:I27" name="Range1_6" securityDescriptor="O:WDG:WDD:(A;;CC;;;S-1-5-21-1823811621-336188519-2245429935-571)"/>
    <protectedRange sqref="F20:I20" name="Range1_5" securityDescriptor="O:WDG:WDD:(A;;CC;;;S-1-5-21-1823811621-336188519-2245429935-571)"/>
    <protectedRange sqref="F32:I32" name="Range1_4" securityDescriptor="O:WDG:WDD:(A;;CC;;;S-1-5-21-1823811621-336188519-2245429935-571)"/>
    <protectedRange sqref="F35:I35" name="Range1_3" securityDescriptor="O:WDG:WDD:(A;;CC;;;S-1-5-21-1823811621-336188519-2245429935-571)"/>
    <protectedRange sqref="F36:I36" name="Range1_2" securityDescriptor="O:WDG:WDD:(A;;CC;;;S-1-5-21-1823811621-336188519-2245429935-571)"/>
    <protectedRange sqref="F38:I38" name="Range1_1" securityDescriptor="O:WDG:WDD:(A;;CC;;;S-1-5-21-1823811621-336188519-2245429935-571)"/>
    <protectedRange sqref="F24:I24" name="Range11"/>
  </protectedRanges>
  <mergeCells count="8">
    <mergeCell ref="B1:I1"/>
    <mergeCell ref="B2:I2"/>
    <mergeCell ref="B50:I50"/>
    <mergeCell ref="B51:I51"/>
    <mergeCell ref="B52:I52"/>
    <mergeCell ref="F6:I6"/>
    <mergeCell ref="B7:C7"/>
    <mergeCell ref="B3:G3"/>
  </mergeCells>
  <dataValidations count="16">
    <dataValidation type="decimal" allowBlank="1" showInputMessage="1" showErrorMessage="1" errorTitle="Invalid data" error="From 70 % to 100 % must be entered, as according to NRA's Methodology, capacity share can't be less than 70 %." sqref="F24:I24">
      <formula1>0.7</formula1>
      <formula2>1</formula2>
    </dataValidation>
    <dataValidation type="decimal" allowBlank="1" showInputMessage="1" showErrorMessage="1" errorTitle="Invalid data" error="Values between 0 and 122350 (i.e. not greater than technical capacity) must be entered." sqref="F33:I33">
      <formula1>0</formula1>
      <formula2>122350</formula2>
    </dataValidation>
    <dataValidation type="decimal" allowBlank="1" showInputMessage="1" showErrorMessage="1" errorTitle="Invalid data" error="Values between 0 and 74000 (i.e. not greater than forecasted technical capacity) must be entered." sqref="H34:I34">
      <formula1>0</formula1>
      <formula2>74000</formula2>
    </dataValidation>
    <dataValidation type="decimal" allowBlank="1" showInputMessage="1" showErrorMessage="1" errorTitle="Invalid data" error="Values between 0 and 58000 (i.e. not greater than forecasted technical capacity) must be entered." sqref="H37:I37">
      <formula1>0</formula1>
      <formula2>58000</formula2>
    </dataValidation>
    <dataValidation type="decimal" allowBlank="1" showErrorMessage="1" errorTitle="Invalid data" error="Values between 0 and the difference between 325433,47 (i.e. technical capacity at Kotlovka GMS) and capacity booking at Sakiai GMS must be entered." sqref="F31:I31">
      <formula1>0</formula1>
      <formula2>325433.47-F34</formula2>
    </dataValidation>
    <dataValidation type="decimal" allowBlank="1" showErrorMessage="1" errorTitle="Invalid data" error="Values between 0% and 100% must be entered." sqref="F27:I27">
      <formula1>0</formula1>
      <formula2>1</formula2>
    </dataValidation>
    <dataValidation type="decimal" showErrorMessage="1" errorTitle="Invalid data" error="Values between 0% and 100% must be entered." sqref="F20:I20">
      <formula1>0</formula1>
      <formula2>1</formula2>
    </dataValidation>
    <dataValidation type="decimal" allowBlank="1" showInputMessage="1" showErrorMessage="1" errorTitle="Invalid data" error="Values between 0 and 65086.69 (i.e. not greater than technical capacity) must be entered." sqref="F32:I32">
      <formula1>0</formula1>
      <formula2>65086.69</formula2>
    </dataValidation>
    <dataValidation type="decimal" allowBlank="1" showInputMessage="1" showErrorMessage="1" errorTitle="Invalid data" error="Values between 0 and 67590.03 (i.e. not greater than technical capacity) must be entered." sqref="F35:I35">
      <formula1>0</formula1>
      <formula2>67590.03</formula2>
    </dataValidation>
    <dataValidation type="whole" showErrorMessage="1" errorTitle="Invalid dta" error="Values between 1 and 114200 (i.e. not greater than technical capacity) must be entered." sqref="F36:I36">
      <formula1>1</formula1>
      <formula2>114200</formula2>
    </dataValidation>
    <dataValidation type="decimal" allowBlank="1" showErrorMessage="1" errorTitle="Invalid data" error="Value between 1 and 200000 must be entered." sqref="F38:I38">
      <formula1>1</formula1>
      <formula2>200000</formula2>
    </dataValidation>
    <dataValidation type="list" allowBlank="1" showInputMessage="1" showErrorMessage="1" sqref="D20 D24">
      <formula1>#REF!</formula1>
    </dataValidation>
    <dataValidation type="decimal" allowBlank="1" showInputMessage="1" showErrorMessage="1" errorTitle="Invalid data" error="From 1 % to 100 % must be entered." sqref="E24">
      <formula1>0.01</formula1>
      <formula2>1</formula2>
    </dataValidation>
    <dataValidation type="decimal" allowBlank="1" showInputMessage="1" showErrorMessage="1" errorTitle="Invalid data" error="Values between 0 and 10000 must be entered." prompt="Values between 0 and 10000" sqref="F13:I13">
      <formula1>0</formula1>
      <formula2>10000</formula2>
    </dataValidation>
    <dataValidation type="decimal" allowBlank="1" showInputMessage="1" showErrorMessage="1" errorTitle="Invalid data" error="Values between 30000 and 100000 must be entered." sqref="F8:I8">
      <formula1>30000</formula1>
      <formula2>100000</formula2>
    </dataValidation>
    <dataValidation type="list" allowBlank="1" showInputMessage="1" showErrorMessage="1" sqref="D27">
      <formula1>$I$50:$I$52</formula1>
    </dataValidation>
  </dataValidations>
  <pageMargins left="0.70866141732283472" right="0.70866141732283472" top="0.74803149606299213" bottom="0.74803149606299213"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showGridLines="0" zoomScale="90" zoomScaleNormal="90" workbookViewId="0">
      <selection activeCell="A48" sqref="A48"/>
    </sheetView>
  </sheetViews>
  <sheetFormatPr defaultRowHeight="14.4" x14ac:dyDescent="0.3"/>
  <cols>
    <col min="2" max="2" width="8.88671875" customWidth="1"/>
    <col min="3" max="4" width="4.5546875" customWidth="1"/>
    <col min="5" max="5" width="5.6640625" bestFit="1" customWidth="1"/>
    <col min="6" max="7" width="4.5546875" customWidth="1"/>
    <col min="8" max="8" width="5.6640625" customWidth="1"/>
    <col min="9" max="10" width="4.5546875" customWidth="1"/>
    <col min="11" max="11" width="5.6640625" customWidth="1"/>
    <col min="12" max="30" width="4.5546875" customWidth="1"/>
  </cols>
  <sheetData>
    <row r="1" spans="1:30" ht="23.4" customHeight="1" x14ac:dyDescent="0.3">
      <c r="A1" s="103" t="s">
        <v>62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30" ht="15.6" x14ac:dyDescent="0.3">
      <c r="A2" s="104" t="s">
        <v>85</v>
      </c>
      <c r="B2" s="104"/>
      <c r="C2" s="104"/>
      <c r="D2" s="104"/>
      <c r="E2" s="104"/>
      <c r="F2" s="104"/>
      <c r="G2" s="104"/>
      <c r="H2" s="104"/>
      <c r="I2" s="104"/>
      <c r="J2" s="104"/>
      <c r="K2" s="104"/>
      <c r="L2" s="104"/>
      <c r="M2" s="104"/>
      <c r="N2" s="104"/>
      <c r="O2" s="104"/>
    </row>
    <row r="3" spans="1:30" ht="15.6" x14ac:dyDescent="0.3">
      <c r="A3" s="105"/>
      <c r="B3" s="105"/>
      <c r="C3" s="105"/>
      <c r="D3" s="105"/>
      <c r="E3" s="105"/>
      <c r="F3" s="105"/>
    </row>
    <row r="6" spans="1:30" x14ac:dyDescent="0.3">
      <c r="A6" s="119" t="s">
        <v>56</v>
      </c>
      <c r="B6" s="119"/>
      <c r="C6" s="119"/>
      <c r="D6" s="119"/>
      <c r="E6" s="119"/>
      <c r="F6" s="119"/>
      <c r="G6" s="119"/>
      <c r="H6" s="119"/>
      <c r="I6" s="119"/>
      <c r="J6" s="119"/>
      <c r="K6" s="119"/>
    </row>
    <row r="7" spans="1:30" x14ac:dyDescent="0.3">
      <c r="A7" s="119"/>
      <c r="B7" s="119"/>
      <c r="C7" s="119"/>
      <c r="D7" s="119"/>
      <c r="E7" s="119"/>
      <c r="F7" s="119"/>
      <c r="G7" s="119"/>
      <c r="H7" s="119"/>
      <c r="I7" s="119"/>
      <c r="J7" s="119"/>
      <c r="K7" s="119"/>
    </row>
    <row r="8" spans="1:30" ht="45" customHeight="1" x14ac:dyDescent="0.3">
      <c r="A8" s="120" t="s">
        <v>57</v>
      </c>
      <c r="B8" s="121"/>
      <c r="C8" s="116" t="s">
        <v>58</v>
      </c>
      <c r="D8" s="117"/>
      <c r="E8" s="118"/>
      <c r="F8" s="122" t="s">
        <v>63</v>
      </c>
      <c r="G8" s="122"/>
      <c r="H8" s="122"/>
      <c r="I8" s="123" t="s">
        <v>84</v>
      </c>
      <c r="J8" s="123"/>
      <c r="K8" s="123"/>
    </row>
    <row r="9" spans="1:30" x14ac:dyDescent="0.3">
      <c r="A9" s="120"/>
      <c r="B9" s="121"/>
      <c r="C9" s="96" t="s">
        <v>59</v>
      </c>
      <c r="D9" s="96" t="s">
        <v>60</v>
      </c>
      <c r="E9" s="96" t="s">
        <v>61</v>
      </c>
      <c r="F9" s="96" t="s">
        <v>59</v>
      </c>
      <c r="G9" s="96" t="s">
        <v>60</v>
      </c>
      <c r="H9" s="96" t="s">
        <v>61</v>
      </c>
      <c r="I9" s="96" t="s">
        <v>59</v>
      </c>
      <c r="J9" s="96" t="s">
        <v>60</v>
      </c>
      <c r="K9" s="96" t="s">
        <v>61</v>
      </c>
    </row>
    <row r="10" spans="1:30" x14ac:dyDescent="0.3">
      <c r="A10" s="97">
        <v>2019</v>
      </c>
      <c r="B10" s="98"/>
      <c r="C10" s="99">
        <v>1.25</v>
      </c>
      <c r="D10" s="99">
        <v>1.5</v>
      </c>
      <c r="E10" s="99">
        <v>2.25</v>
      </c>
      <c r="F10" s="100">
        <v>1.25</v>
      </c>
      <c r="G10" s="99">
        <v>1.4</v>
      </c>
      <c r="H10" s="99">
        <v>1.5</v>
      </c>
      <c r="I10" s="99">
        <v>1.25</v>
      </c>
      <c r="J10" s="99">
        <v>1.5</v>
      </c>
      <c r="K10" s="99">
        <v>2.25</v>
      </c>
    </row>
    <row r="12" spans="1:30" x14ac:dyDescent="0.3">
      <c r="A12" s="95" t="s">
        <v>83</v>
      </c>
      <c r="B12" s="95"/>
      <c r="C12" s="95"/>
      <c r="D12" s="95"/>
      <c r="E12" s="95"/>
      <c r="F12" s="95"/>
      <c r="G12" s="95"/>
      <c r="H12" s="95"/>
      <c r="I12" s="95"/>
      <c r="J12" s="95"/>
      <c r="K12" s="95"/>
      <c r="L12" s="101"/>
      <c r="M12" s="101"/>
      <c r="N12" s="101"/>
      <c r="O12" s="101"/>
      <c r="P12" s="101"/>
      <c r="Q12" s="101"/>
      <c r="R12" s="101"/>
      <c r="S12" s="101"/>
      <c r="T12" s="101"/>
      <c r="U12" s="101"/>
      <c r="V12" s="101"/>
      <c r="W12" s="101"/>
      <c r="X12" s="101"/>
      <c r="Y12" s="101"/>
      <c r="Z12" s="101"/>
      <c r="AA12" s="101"/>
      <c r="AB12" s="101"/>
      <c r="AC12" s="101"/>
      <c r="AD12" s="101"/>
    </row>
    <row r="13" spans="1:30" x14ac:dyDescent="0.3">
      <c r="A13" s="95"/>
      <c r="B13" s="95"/>
      <c r="C13" s="95"/>
      <c r="D13" s="95"/>
      <c r="E13" s="95"/>
      <c r="F13" s="95"/>
      <c r="G13" s="95"/>
      <c r="H13" s="95"/>
      <c r="I13" s="95"/>
      <c r="J13" s="95"/>
      <c r="K13" s="95"/>
      <c r="L13" s="101"/>
      <c r="M13" s="101"/>
      <c r="N13" s="101"/>
      <c r="O13" s="101"/>
      <c r="P13" s="101"/>
      <c r="Q13" s="101"/>
      <c r="R13" s="101"/>
      <c r="S13" s="101"/>
      <c r="T13" s="101"/>
      <c r="U13" s="101"/>
      <c r="V13" s="101"/>
      <c r="W13" s="101"/>
      <c r="X13" s="101"/>
      <c r="Y13" s="101"/>
      <c r="Z13" s="101"/>
      <c r="AA13" s="101"/>
      <c r="AB13" s="101"/>
      <c r="AC13" s="101"/>
      <c r="AD13" s="101"/>
    </row>
    <row r="14" spans="1:30" ht="14.4" customHeight="1" x14ac:dyDescent="0.3">
      <c r="A14" s="120" t="s">
        <v>57</v>
      </c>
      <c r="B14" s="121"/>
      <c r="C14" s="116" t="s">
        <v>64</v>
      </c>
      <c r="D14" s="117"/>
      <c r="E14" s="117"/>
      <c r="F14" s="118"/>
      <c r="G14" s="116" t="s">
        <v>65</v>
      </c>
      <c r="H14" s="117"/>
      <c r="I14" s="117"/>
      <c r="J14" s="117"/>
      <c r="K14" s="117"/>
      <c r="L14" s="117"/>
      <c r="M14" s="117"/>
      <c r="N14" s="117"/>
      <c r="O14" s="117"/>
      <c r="P14" s="117"/>
      <c r="Q14" s="117"/>
      <c r="R14" s="118"/>
      <c r="S14" s="116" t="s">
        <v>66</v>
      </c>
      <c r="T14" s="117"/>
      <c r="U14" s="117"/>
      <c r="V14" s="117"/>
      <c r="W14" s="117"/>
      <c r="X14" s="117"/>
      <c r="Y14" s="117"/>
      <c r="Z14" s="117"/>
      <c r="AA14" s="117"/>
      <c r="AB14" s="117"/>
      <c r="AC14" s="117"/>
      <c r="AD14" s="118"/>
    </row>
    <row r="15" spans="1:30" x14ac:dyDescent="0.3">
      <c r="A15" s="120"/>
      <c r="B15" s="121"/>
      <c r="C15" s="96" t="s">
        <v>67</v>
      </c>
      <c r="D15" s="96" t="s">
        <v>68</v>
      </c>
      <c r="E15" s="96" t="s">
        <v>69</v>
      </c>
      <c r="F15" s="96" t="s">
        <v>70</v>
      </c>
      <c r="G15" s="96" t="s">
        <v>71</v>
      </c>
      <c r="H15" s="96" t="s">
        <v>72</v>
      </c>
      <c r="I15" s="96" t="s">
        <v>73</v>
      </c>
      <c r="J15" s="96" t="s">
        <v>74</v>
      </c>
      <c r="K15" s="96" t="s">
        <v>75</v>
      </c>
      <c r="L15" s="96" t="s">
        <v>76</v>
      </c>
      <c r="M15" s="96" t="s">
        <v>77</v>
      </c>
      <c r="N15" s="96" t="s">
        <v>78</v>
      </c>
      <c r="O15" s="96" t="s">
        <v>79</v>
      </c>
      <c r="P15" s="96" t="s">
        <v>80</v>
      </c>
      <c r="Q15" s="96" t="s">
        <v>81</v>
      </c>
      <c r="R15" s="96" t="s">
        <v>82</v>
      </c>
      <c r="S15" s="96" t="s">
        <v>71</v>
      </c>
      <c r="T15" s="96" t="s">
        <v>72</v>
      </c>
      <c r="U15" s="96" t="s">
        <v>73</v>
      </c>
      <c r="V15" s="96" t="s">
        <v>74</v>
      </c>
      <c r="W15" s="96" t="s">
        <v>75</v>
      </c>
      <c r="X15" s="96" t="s">
        <v>76</v>
      </c>
      <c r="Y15" s="96" t="s">
        <v>77</v>
      </c>
      <c r="Z15" s="96" t="s">
        <v>78</v>
      </c>
      <c r="AA15" s="96" t="s">
        <v>79</v>
      </c>
      <c r="AB15" s="96" t="s">
        <v>80</v>
      </c>
      <c r="AC15" s="96" t="s">
        <v>81</v>
      </c>
      <c r="AD15" s="96" t="s">
        <v>82</v>
      </c>
    </row>
    <row r="16" spans="1:30" x14ac:dyDescent="0.3">
      <c r="A16" s="97">
        <v>2019</v>
      </c>
      <c r="B16" s="98"/>
      <c r="C16" s="99">
        <v>3.0822222222222218</v>
      </c>
      <c r="D16" s="99">
        <v>1.1230769230769231</v>
      </c>
      <c r="E16" s="99">
        <v>0.95217391304347809</v>
      </c>
      <c r="F16" s="99">
        <v>1.9043478260869562</v>
      </c>
      <c r="G16" s="99">
        <v>2.7473118279569886</v>
      </c>
      <c r="H16" s="99">
        <v>3.0416666666666661</v>
      </c>
      <c r="I16" s="99">
        <v>1.9623655913978493</v>
      </c>
      <c r="J16" s="99">
        <v>1.6222222222222225</v>
      </c>
      <c r="K16" s="99">
        <v>1.0204301075268816</v>
      </c>
      <c r="L16" s="99">
        <v>1.0544444444444445</v>
      </c>
      <c r="M16" s="99">
        <v>1.0204301075268816</v>
      </c>
      <c r="N16" s="99">
        <v>1.0204301075268816</v>
      </c>
      <c r="O16" s="99">
        <v>1.0544444444444445</v>
      </c>
      <c r="P16" s="99">
        <v>1.5698924731182797</v>
      </c>
      <c r="Q16" s="99">
        <v>1.6222222222222225</v>
      </c>
      <c r="R16" s="99">
        <v>2.7473118279569886</v>
      </c>
      <c r="S16" s="99">
        <v>2.8388888888888881</v>
      </c>
      <c r="T16" s="99">
        <v>2.8388888888888881</v>
      </c>
      <c r="U16" s="99">
        <v>2.0277777777777777</v>
      </c>
      <c r="V16" s="99">
        <v>1.622222222222222</v>
      </c>
      <c r="W16" s="99">
        <v>1.0544444444444443</v>
      </c>
      <c r="X16" s="99">
        <v>1.0544444444444443</v>
      </c>
      <c r="Y16" s="99">
        <v>1.0544444444444443</v>
      </c>
      <c r="Z16" s="99">
        <v>1.0544444444444443</v>
      </c>
      <c r="AA16" s="99">
        <v>1.0544444444444443</v>
      </c>
      <c r="AB16" s="99">
        <v>1.622222222222222</v>
      </c>
      <c r="AC16" s="99">
        <v>1.622222222222222</v>
      </c>
      <c r="AD16" s="99">
        <v>2.8388888888888881</v>
      </c>
    </row>
  </sheetData>
  <sheetProtection algorithmName="SHA-512" hashValue="sgU0KlRV2lmbcABckBQdC3L7fdLMNw5DU7y8SqVnP/INN2KVVSsmdgbQDftyTtxCNkpFPkkiTwbz9R4FQELXhg==" saltValue="VBTIP71v1tRSsohM9nhV7w==" spinCount="100000" sheet="1" objects="1" scenarios="1"/>
  <mergeCells count="14">
    <mergeCell ref="C14:F14"/>
    <mergeCell ref="G14:R14"/>
    <mergeCell ref="S14:AD14"/>
    <mergeCell ref="A1:Y1"/>
    <mergeCell ref="A6:K7"/>
    <mergeCell ref="A2:O2"/>
    <mergeCell ref="A14:A15"/>
    <mergeCell ref="B14:B15"/>
    <mergeCell ref="A8:A9"/>
    <mergeCell ref="B8:B9"/>
    <mergeCell ref="C8:E8"/>
    <mergeCell ref="F8:H8"/>
    <mergeCell ref="I8:K8"/>
    <mergeCell ref="A3:F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Simplified Tariff Model</vt:lpstr>
      <vt:lpstr>Forecast until 2023 </vt:lpstr>
      <vt:lpstr>Ms, SFs for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2019-04-15T07:46:39Z</dcterms:modified>
</cp:coreProperties>
</file>